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020" tabRatio="927" activeTab="0"/>
  </bookViews>
  <sheets>
    <sheet name="10-bo jM,Jři, Dci" sheetId="1" r:id="rId1"/>
    <sheet name="9-boj ST.ŽÁCI" sheetId="2" r:id="rId2"/>
    <sheet name="7-boj ST. ŽÁKYNĚ" sheetId="3" r:id="rId3"/>
    <sheet name="7-boj D,J,Ž" sheetId="4" r:id="rId4"/>
    <sheet name="5-boj-žáci" sheetId="5" r:id="rId5"/>
    <sheet name="5-boj-žačky" sheetId="6" r:id="rId6"/>
  </sheets>
  <definedNames/>
  <calcPr fullCalcOnLoad="1"/>
</workbook>
</file>

<file path=xl/sharedStrings.xml><?xml version="1.0" encoding="utf-8"?>
<sst xmlns="http://schemas.openxmlformats.org/spreadsheetml/2006/main" count="1090" uniqueCount="260">
  <si>
    <t>Body</t>
  </si>
  <si>
    <t>koule</t>
  </si>
  <si>
    <t>dálka</t>
  </si>
  <si>
    <t>výška</t>
  </si>
  <si>
    <t>disk</t>
  </si>
  <si>
    <t>tyč</t>
  </si>
  <si>
    <t>oštěp</t>
  </si>
  <si>
    <t>1. den</t>
  </si>
  <si>
    <t>Jméno</t>
  </si>
  <si>
    <t>Poř.</t>
  </si>
  <si>
    <t>body</t>
  </si>
  <si>
    <t>2. den</t>
  </si>
  <si>
    <t>Body celkem</t>
  </si>
  <si>
    <t>Kat.: muži</t>
  </si>
  <si>
    <t>Kat.: dorostenci</t>
  </si>
  <si>
    <t>Kat.: st.žáci</t>
  </si>
  <si>
    <t>Kat.: dorostenky</t>
  </si>
  <si>
    <t>Kat.: st. Žákyně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</si>
  <si>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</si>
  <si>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</si>
  <si>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</si>
  <si>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</si>
  <si>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</si>
  <si>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</si>
  <si>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</si>
  <si>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</si>
  <si>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</si>
  <si>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</si>
  <si>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60 m</t>
  </si>
  <si>
    <t>800 m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</si>
  <si>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</si>
  <si>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</si>
  <si>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</si>
  <si>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</si>
  <si>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</si>
  <si>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</si>
  <si>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</si>
  <si>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</si>
  <si>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</si>
  <si>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</si>
  <si>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</si>
  <si>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</si>
  <si>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Roč.</t>
  </si>
  <si>
    <t>Oddíl</t>
  </si>
  <si>
    <t>100 m</t>
  </si>
  <si>
    <t>400 m</t>
  </si>
  <si>
    <t>110 př.</t>
  </si>
  <si>
    <t>1 500 m</t>
  </si>
  <si>
    <t>100 př.</t>
  </si>
  <si>
    <t>1 000 m</t>
  </si>
  <si>
    <t>200 m</t>
  </si>
  <si>
    <t>150 m</t>
  </si>
  <si>
    <t>Mimo soutěž</t>
  </si>
  <si>
    <t>SOKOP</t>
  </si>
  <si>
    <t>TZTRI</t>
  </si>
  <si>
    <t>23.</t>
  </si>
  <si>
    <t>24.</t>
  </si>
  <si>
    <t>ORLOV</t>
  </si>
  <si>
    <t>MS</t>
  </si>
  <si>
    <t xml:space="preserve"> +,- w  100 m</t>
  </si>
  <si>
    <t xml:space="preserve"> +,- w  dálka</t>
  </si>
  <si>
    <t xml:space="preserve"> +,- w  110 př.</t>
  </si>
  <si>
    <t>Zápis větru</t>
  </si>
  <si>
    <t xml:space="preserve"> +,- w  100 př.</t>
  </si>
  <si>
    <t xml:space="preserve"> +,- w  60 m</t>
  </si>
  <si>
    <t xml:space="preserve"> +,- w  200 m</t>
  </si>
  <si>
    <t xml:space="preserve"> +,- w  150 m</t>
  </si>
  <si>
    <t>+1,1</t>
  </si>
  <si>
    <t>Dálka</t>
  </si>
  <si>
    <t>Kat.: mladší žáci</t>
  </si>
  <si>
    <t>60 př.</t>
  </si>
  <si>
    <t>Míček</t>
  </si>
  <si>
    <t>Kat.: mladší žákyně</t>
  </si>
  <si>
    <t>Kat.: junioři</t>
  </si>
  <si>
    <t>Kat.: ženy, juniorky</t>
  </si>
  <si>
    <t>Holek Jakub</t>
  </si>
  <si>
    <t>BOHUM</t>
  </si>
  <si>
    <t>Dolejš Pavel</t>
  </si>
  <si>
    <t>AHAVY</t>
  </si>
  <si>
    <t>Hájek David</t>
  </si>
  <si>
    <t>STHAV</t>
  </si>
  <si>
    <t>Mikuláček Petr</t>
  </si>
  <si>
    <t>SKPRE</t>
  </si>
  <si>
    <t>Orlík Dušan</t>
  </si>
  <si>
    <t>Heczko Michal</t>
  </si>
  <si>
    <t>Skála Josef</t>
  </si>
  <si>
    <t>Čech Vojtěch</t>
  </si>
  <si>
    <t>AKHOD</t>
  </si>
  <si>
    <t>Fiala Adam</t>
  </si>
  <si>
    <t>PORUB</t>
  </si>
  <si>
    <t>Mazálek Karel</t>
  </si>
  <si>
    <t>JACBR</t>
  </si>
  <si>
    <t>Ryšavý Jakub</t>
  </si>
  <si>
    <t>AKLOL</t>
  </si>
  <si>
    <t>Babiš Ivo</t>
  </si>
  <si>
    <t>97</t>
  </si>
  <si>
    <t>Bajer Karel</t>
  </si>
  <si>
    <t>Cepek Daniel</t>
  </si>
  <si>
    <t>VITKO</t>
  </si>
  <si>
    <t>Guzik Vojtěch</t>
  </si>
  <si>
    <t>Hoffmann Marek</t>
  </si>
  <si>
    <t>98</t>
  </si>
  <si>
    <t>Hospody Nikolas</t>
  </si>
  <si>
    <t>Kadla Jiří</t>
  </si>
  <si>
    <t>SKMVM</t>
  </si>
  <si>
    <t>Kijanica Michael</t>
  </si>
  <si>
    <t>Král David</t>
  </si>
  <si>
    <t>Mikuláček Pavel</t>
  </si>
  <si>
    <t>Murko Vítězslav</t>
  </si>
  <si>
    <t>Pleva Petr</t>
  </si>
  <si>
    <t>AKZLI</t>
  </si>
  <si>
    <t>Ryšánek Vojtěch</t>
  </si>
  <si>
    <t>Stankuš Christian</t>
  </si>
  <si>
    <t>Šubrt Alexandr</t>
  </si>
  <si>
    <t>Valášek Jakub</t>
  </si>
  <si>
    <t>Vilém Petr</t>
  </si>
  <si>
    <t>Zeman Dalibor</t>
  </si>
  <si>
    <t>Dudzik Břetislav</t>
  </si>
  <si>
    <t>Junek Jiří</t>
  </si>
  <si>
    <t>Kadla Ondřej</t>
  </si>
  <si>
    <t>Kolašín Jonáš</t>
  </si>
  <si>
    <t>Kozubek Jakub</t>
  </si>
  <si>
    <t>Kukelka Denis</t>
  </si>
  <si>
    <t>Lorenčič David</t>
  </si>
  <si>
    <t>Mecner Jakub</t>
  </si>
  <si>
    <t>Staněk David</t>
  </si>
  <si>
    <t>KARVI</t>
  </si>
  <si>
    <t>Ščuka Ladislav</t>
  </si>
  <si>
    <t>Vácha Jan</t>
  </si>
  <si>
    <t>Zamazal Michal</t>
  </si>
  <si>
    <t>BLADV</t>
  </si>
  <si>
    <t>Vytlačilová Tereza</t>
  </si>
  <si>
    <t>95</t>
  </si>
  <si>
    <t>ATPOL</t>
  </si>
  <si>
    <t>Douchová Tereza</t>
  </si>
  <si>
    <t>92</t>
  </si>
  <si>
    <t>Březinová Pavlína</t>
  </si>
  <si>
    <t>94</t>
  </si>
  <si>
    <t>SUMPE</t>
  </si>
  <si>
    <t>Křížová Eliška</t>
  </si>
  <si>
    <t>93</t>
  </si>
  <si>
    <t>UNIBR</t>
  </si>
  <si>
    <t>Bártová Adéla</t>
  </si>
  <si>
    <t>Horáková Barbora</t>
  </si>
  <si>
    <t>96</t>
  </si>
  <si>
    <t>Urbaczková Lucie</t>
  </si>
  <si>
    <t>Dietrichová Kateřina</t>
  </si>
  <si>
    <t>Dostálová Veronika</t>
  </si>
  <si>
    <t>Fialová Kateřina</t>
  </si>
  <si>
    <t>Gřundělová Nela</t>
  </si>
  <si>
    <t>Harasimová Petra</t>
  </si>
  <si>
    <t>Hrubá Michaela</t>
  </si>
  <si>
    <t>Chybová Vendula</t>
  </si>
  <si>
    <t>Křížkovská Barbora</t>
  </si>
  <si>
    <t>Miková Barbora</t>
  </si>
  <si>
    <t>Mikulášková Lenka</t>
  </si>
  <si>
    <t>Muchová Veronika</t>
  </si>
  <si>
    <t>KROME</t>
  </si>
  <si>
    <t>Palánová Aneta</t>
  </si>
  <si>
    <t>Rašková Adéla</t>
  </si>
  <si>
    <t>Řehulková Markéta</t>
  </si>
  <si>
    <t>Salamonová Alexandra</t>
  </si>
  <si>
    <t>Sýkorová Michaela</t>
  </si>
  <si>
    <t>Šimečková Michaela</t>
  </si>
  <si>
    <t>Vagalová Zuzana</t>
  </si>
  <si>
    <t>Váchová Dominika</t>
  </si>
  <si>
    <t>Vlčková Veronika</t>
  </si>
  <si>
    <t>Zatloukalová Barbora</t>
  </si>
  <si>
    <t>Ščerbová Petra</t>
  </si>
  <si>
    <t>Nogolová Anna</t>
  </si>
  <si>
    <t>Horáková Tereza</t>
  </si>
  <si>
    <t>Mojeściková Karolína</t>
  </si>
  <si>
    <t>Březinová Natálie</t>
  </si>
  <si>
    <t>LBKKO</t>
  </si>
  <si>
    <t>Hadašová Barbora</t>
  </si>
  <si>
    <t>Heimová Marie</t>
  </si>
  <si>
    <t>Holá Denisa</t>
  </si>
  <si>
    <t>Hromadníková Tereza</t>
  </si>
  <si>
    <t>Chromečková Alena</t>
  </si>
  <si>
    <t>lndruchová Berenika</t>
  </si>
  <si>
    <t>Ivčičová Kateřina</t>
  </si>
  <si>
    <t>CEJKO</t>
  </si>
  <si>
    <t>Krčmářová Dominika</t>
  </si>
  <si>
    <t>Křístková Barbora</t>
  </si>
  <si>
    <t>Michutová Nela</t>
  </si>
  <si>
    <t>Novotná Jana</t>
  </si>
  <si>
    <t>Rovenská Klára</t>
  </si>
  <si>
    <t>Strýčková Veronika</t>
  </si>
  <si>
    <t>Sýkorová Patricie</t>
  </si>
  <si>
    <t>Škrdlíková Marie</t>
  </si>
  <si>
    <t>UHHRA</t>
  </si>
  <si>
    <t>Šoborová Agáta</t>
  </si>
  <si>
    <t>Švubová Sylvie</t>
  </si>
  <si>
    <t>Vlčková Karolína</t>
  </si>
  <si>
    <t>Zálešáková Soňa</t>
  </si>
  <si>
    <t>Župníková Aneta</t>
  </si>
  <si>
    <t>Polášková Šárka</t>
  </si>
  <si>
    <t>Resslerová Kateřina</t>
  </si>
  <si>
    <t>Berková Nikola</t>
  </si>
  <si>
    <t>Zawada Ondřej</t>
  </si>
  <si>
    <t>Wawreczka David</t>
  </si>
  <si>
    <t>Šařec Adam</t>
  </si>
  <si>
    <t>Altániová Katarina</t>
  </si>
  <si>
    <t>SK-PB</t>
  </si>
  <si>
    <t>Lassek Robin</t>
  </si>
  <si>
    <t>Koňařík Jan</t>
  </si>
  <si>
    <t>-0,1</t>
  </si>
  <si>
    <t>0</t>
  </si>
  <si>
    <t>+0,2</t>
  </si>
  <si>
    <t>DNF</t>
  </si>
  <si>
    <t>Horňáková Nikola</t>
  </si>
  <si>
    <t>Bětuňák Bohumil</t>
  </si>
  <si>
    <t>+0,5</t>
  </si>
  <si>
    <t>+0,1</t>
  </si>
  <si>
    <t>+1,2</t>
  </si>
  <si>
    <t>-0,2</t>
  </si>
  <si>
    <t>DNP</t>
  </si>
  <si>
    <t>-0,3</t>
  </si>
  <si>
    <t xml:space="preserve"> +,- w  60 mpř</t>
  </si>
  <si>
    <t>-0,8</t>
  </si>
  <si>
    <t>-0,4</t>
  </si>
  <si>
    <t>Jursová Michaela</t>
  </si>
  <si>
    <t>Wrzecionková Kamila</t>
  </si>
  <si>
    <t>Mrozková Monika</t>
  </si>
  <si>
    <t>Nieslaniková Karolína</t>
  </si>
  <si>
    <t>Horňáčková Nikola</t>
  </si>
  <si>
    <t>+0,6</t>
  </si>
  <si>
    <t>+0,4</t>
  </si>
  <si>
    <t>+1,0</t>
  </si>
  <si>
    <t>+0,9</t>
  </si>
  <si>
    <t>+0,8</t>
  </si>
  <si>
    <t>+0,7</t>
  </si>
  <si>
    <t>-1,8</t>
  </si>
  <si>
    <t>-1,1</t>
  </si>
  <si>
    <t>-1,2</t>
  </si>
  <si>
    <t>Krejčí Šimon</t>
  </si>
  <si>
    <t>Homola Tomáš</t>
  </si>
  <si>
    <t>Chlopčík Jan</t>
  </si>
  <si>
    <t>Zaduban Adam</t>
  </si>
  <si>
    <t>Vojtek Tomáš</t>
  </si>
  <si>
    <t>-0,5</t>
  </si>
  <si>
    <t>-1,0</t>
  </si>
  <si>
    <t>-0,6</t>
  </si>
  <si>
    <t>Lukša Filip</t>
  </si>
  <si>
    <t>+1,6</t>
  </si>
  <si>
    <t>+0,3</t>
  </si>
  <si>
    <t>-0,7</t>
  </si>
  <si>
    <t>-0,9</t>
  </si>
  <si>
    <t xml:space="preserve"> +,- w  60 př.</t>
  </si>
  <si>
    <t>-2,5</t>
  </si>
  <si>
    <t>-1,6</t>
  </si>
  <si>
    <t>+2,0</t>
  </si>
  <si>
    <t>+2</t>
  </si>
  <si>
    <t>+1,5</t>
  </si>
  <si>
    <t>+2,9</t>
  </si>
  <si>
    <t>+1,9</t>
  </si>
  <si>
    <t>+1,4</t>
  </si>
  <si>
    <t>Klíma Lukáš</t>
  </si>
  <si>
    <t>Říhák Matyáš</t>
  </si>
  <si>
    <t>SKHRA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</si>
</sst>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#.00"/>
    <numFmt numFmtId="175" formatCode="00.00"/>
    <numFmt numFmtId="176" formatCode="000\ 00"/>
    <numFmt numFmtId="177" formatCode="[$-405]d\.\ mmmm\ yyyy"/>
  </numFmts>
  <fonts count="4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16"/>
      <name val="Arial CE"/>
      <family val="2"/>
    </font>
    <font>
      <b/>
      <sz val="12"/>
      <name val="Arial CE"/>
      <family val="2"/>
    </font>
    <font>
      <b/>
      <i/>
      <sz val="16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2" fontId="2" fillId="0" borderId="10" xfId="0" applyNumberFormat="1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wrapText="1"/>
    </xf>
    <xf numFmtId="2" fontId="0" fillId="0" borderId="18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75" fontId="3" fillId="0" borderId="1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5" fontId="0" fillId="0" borderId="1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1" fontId="2" fillId="0" borderId="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1" fontId="2" fillId="33" borderId="22" xfId="0" applyNumberFormat="1" applyFont="1" applyFill="1" applyBorder="1" applyAlignment="1">
      <alignment horizontal="center" wrapText="1"/>
    </xf>
    <xf numFmtId="0" fontId="0" fillId="33" borderId="23" xfId="0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 textRotation="90"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2" fontId="4" fillId="0" borderId="10" xfId="0" applyNumberFormat="1" applyFont="1" applyBorder="1" applyAlignment="1">
      <alignment horizontal="center" textRotation="90"/>
    </xf>
    <xf numFmtId="2" fontId="4" fillId="0" borderId="11" xfId="0" applyNumberFormat="1" applyFont="1" applyBorder="1" applyAlignment="1">
      <alignment horizontal="center" textRotation="90"/>
    </xf>
    <xf numFmtId="0" fontId="7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33" borderId="28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1" fontId="2" fillId="33" borderId="28" xfId="0" applyNumberFormat="1" applyFont="1" applyFill="1" applyBorder="1" applyAlignment="1">
      <alignment horizontal="center"/>
    </xf>
    <xf numFmtId="2" fontId="0" fillId="33" borderId="28" xfId="0" applyNumberFormat="1" applyFont="1" applyFill="1" applyBorder="1" applyAlignment="1">
      <alignment horizontal="center"/>
    </xf>
    <xf numFmtId="1" fontId="0" fillId="33" borderId="2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 textRotation="90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29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2" fontId="2" fillId="0" borderId="14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0" fontId="10" fillId="0" borderId="15" xfId="0" applyFont="1" applyFill="1" applyBorder="1" applyAlignment="1">
      <alignment horizontal="center"/>
    </xf>
    <xf numFmtId="175" fontId="0" fillId="0" borderId="18" xfId="0" applyNumberFormat="1" applyBorder="1" applyAlignment="1">
      <alignment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75" fontId="0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1" fontId="2" fillId="34" borderId="20" xfId="0" applyNumberFormat="1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 vertical="center" textRotation="90"/>
    </xf>
    <xf numFmtId="2" fontId="2" fillId="34" borderId="36" xfId="0" applyNumberFormat="1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34" xfId="0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175" fontId="0" fillId="0" borderId="18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1" fontId="2" fillId="0" borderId="3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 horizontal="center"/>
    </xf>
    <xf numFmtId="2" fontId="4" fillId="0" borderId="26" xfId="0" applyNumberFormat="1" applyFont="1" applyBorder="1" applyAlignment="1">
      <alignment horizontal="center" vertical="center" textRotation="90"/>
    </xf>
    <xf numFmtId="2" fontId="4" fillId="0" borderId="13" xfId="0" applyNumberFormat="1" applyFont="1" applyBorder="1" applyAlignment="1">
      <alignment horizontal="center" vertical="center" textRotation="90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5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0" fillId="0" borderId="0" xfId="0" applyFont="1" applyFill="1" applyBorder="1" applyAlignment="1">
      <alignment horizontal="center"/>
    </xf>
    <xf numFmtId="175" fontId="0" fillId="0" borderId="0" xfId="0" applyNumberForma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8" xfId="0" applyFont="1" applyBorder="1" applyAlignment="1">
      <alignment horizontal="right"/>
    </xf>
    <xf numFmtId="1" fontId="4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175" fontId="0" fillId="0" borderId="46" xfId="0" applyNumberFormat="1" applyFont="1" applyFill="1" applyBorder="1" applyAlignment="1">
      <alignment horizontal="center"/>
    </xf>
    <xf numFmtId="2" fontId="4" fillId="0" borderId="26" xfId="0" applyNumberFormat="1" applyFont="1" applyBorder="1" applyAlignment="1">
      <alignment horizontal="center" vertical="center" textRotation="90"/>
    </xf>
    <xf numFmtId="2" fontId="4" fillId="0" borderId="13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2" fontId="2" fillId="0" borderId="36" xfId="0" applyNumberFormat="1" applyFont="1" applyBorder="1" applyAlignment="1">
      <alignment horizontal="center" vertical="center" textRotation="90"/>
    </xf>
    <xf numFmtId="2" fontId="2" fillId="0" borderId="37" xfId="0" applyNumberFormat="1" applyFont="1" applyBorder="1" applyAlignment="1">
      <alignment horizontal="center" vertical="center" textRotation="90"/>
    </xf>
    <xf numFmtId="2" fontId="2" fillId="0" borderId="10" xfId="0" applyNumberFormat="1" applyFont="1" applyBorder="1" applyAlignment="1">
      <alignment horizontal="center" vertical="center" textRotation="90"/>
    </xf>
    <xf numFmtId="2" fontId="2" fillId="0" borderId="26" xfId="0" applyNumberFormat="1" applyFont="1" applyBorder="1" applyAlignment="1">
      <alignment horizontal="center" vertical="center" textRotation="90"/>
    </xf>
    <xf numFmtId="2" fontId="2" fillId="0" borderId="13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textRotation="90"/>
    </xf>
    <xf numFmtId="2" fontId="2" fillId="0" borderId="0" xfId="0" applyNumberFormat="1" applyFont="1" applyBorder="1" applyAlignment="1">
      <alignment horizontal="center" vertical="center" textRotation="90"/>
    </xf>
    <xf numFmtId="2" fontId="2" fillId="0" borderId="0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6"/>
  <sheetViews>
    <sheetView showGridLines="0" tabSelected="1" zoomScalePageLayoutView="0" workbookViewId="0" topLeftCell="A1">
      <pane xSplit="5" ySplit="3" topLeftCell="F4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D40" sqref="D40"/>
    </sheetView>
  </sheetViews>
  <sheetFormatPr defaultColWidth="9.00390625" defaultRowHeight="12.75"/>
  <cols>
    <col min="1" max="1" width="3.375" style="38" customWidth="1"/>
    <col min="2" max="2" width="15.625" style="103" customWidth="1"/>
    <col min="3" max="3" width="3.00390625" style="102" bestFit="1" customWidth="1"/>
    <col min="4" max="4" width="7.375" style="41" customWidth="1"/>
    <col min="5" max="5" width="4.875" style="38" customWidth="1"/>
    <col min="6" max="6" width="6.75390625" style="1" customWidth="1"/>
    <col min="7" max="7" width="4.00390625" style="39" bestFit="1" customWidth="1"/>
    <col min="8" max="8" width="5.00390625" style="1" customWidth="1"/>
    <col min="9" max="9" width="4.125" style="39" customWidth="1"/>
    <col min="10" max="10" width="6.625" style="1" customWidth="1"/>
    <col min="11" max="11" width="4.00390625" style="39" bestFit="1" customWidth="1"/>
    <col min="12" max="12" width="4.875" style="1" customWidth="1"/>
    <col min="13" max="13" width="4.00390625" style="39" bestFit="1" customWidth="1"/>
    <col min="14" max="14" width="5.625" style="1" bestFit="1" customWidth="1"/>
    <col min="15" max="15" width="4.00390625" style="39" bestFit="1" customWidth="1"/>
    <col min="16" max="16" width="5.25390625" style="1" customWidth="1"/>
    <col min="17" max="17" width="4.375" style="39" customWidth="1"/>
    <col min="18" max="18" width="5.625" style="1" customWidth="1"/>
    <col min="19" max="19" width="4.00390625" style="39" bestFit="1" customWidth="1"/>
    <col min="20" max="20" width="5.125" style="1" customWidth="1"/>
    <col min="21" max="21" width="4.00390625" style="39" bestFit="1" customWidth="1"/>
    <col min="22" max="22" width="5.25390625" style="1" customWidth="1"/>
    <col min="23" max="23" width="4.00390625" style="39" bestFit="1" customWidth="1"/>
    <col min="24" max="24" width="1.875" style="39" customWidth="1"/>
    <col min="25" max="25" width="5.125" style="1" customWidth="1"/>
    <col min="26" max="26" width="4.00390625" style="39" bestFit="1" customWidth="1"/>
    <col min="27" max="28" width="5.00390625" style="38" bestFit="1" customWidth="1"/>
    <col min="29" max="29" width="15.625" style="40" customWidth="1"/>
    <col min="30" max="30" width="3.00390625" style="40" customWidth="1"/>
    <col min="31" max="31" width="7.375" style="40" customWidth="1"/>
    <col min="32" max="34" width="6.75390625" style="40" customWidth="1"/>
    <col min="35" max="35" width="9.125" style="40" customWidth="1"/>
    <col min="36" max="16384" width="9.125" style="39" customWidth="1"/>
  </cols>
  <sheetData>
    <row r="1" spans="1:29" ht="21" thickBot="1">
      <c r="A1" s="286" t="s">
        <v>13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110" t="s">
        <v>62</v>
      </c>
    </row>
    <row r="2" spans="1:35" ht="66" customHeight="1" thickBot="1">
      <c r="A2" s="9" t="s">
        <v>9</v>
      </c>
      <c r="B2" s="10" t="s">
        <v>8</v>
      </c>
      <c r="C2" s="7" t="s">
        <v>42</v>
      </c>
      <c r="D2" s="7" t="s">
        <v>43</v>
      </c>
      <c r="E2" s="7" t="s">
        <v>12</v>
      </c>
      <c r="F2" s="58" t="s">
        <v>44</v>
      </c>
      <c r="G2" s="7" t="s">
        <v>0</v>
      </c>
      <c r="H2" s="58" t="s">
        <v>2</v>
      </c>
      <c r="I2" s="7" t="s">
        <v>0</v>
      </c>
      <c r="J2" s="58" t="s">
        <v>1</v>
      </c>
      <c r="K2" s="7" t="s">
        <v>0</v>
      </c>
      <c r="L2" s="58" t="s">
        <v>3</v>
      </c>
      <c r="M2" s="7" t="s">
        <v>0</v>
      </c>
      <c r="N2" s="58" t="s">
        <v>45</v>
      </c>
      <c r="O2" s="7" t="s">
        <v>0</v>
      </c>
      <c r="P2" s="58" t="s">
        <v>46</v>
      </c>
      <c r="Q2" s="7" t="s">
        <v>0</v>
      </c>
      <c r="R2" s="58" t="s">
        <v>4</v>
      </c>
      <c r="S2" s="7" t="s">
        <v>0</v>
      </c>
      <c r="T2" s="58" t="s">
        <v>5</v>
      </c>
      <c r="U2" s="7" t="s">
        <v>0</v>
      </c>
      <c r="V2" s="58" t="s">
        <v>6</v>
      </c>
      <c r="W2" s="7" t="s">
        <v>0</v>
      </c>
      <c r="X2" s="284" t="s">
        <v>47</v>
      </c>
      <c r="Y2" s="285"/>
      <c r="Z2" s="7" t="s">
        <v>0</v>
      </c>
      <c r="AA2" s="7" t="s">
        <v>7</v>
      </c>
      <c r="AB2" s="8" t="s">
        <v>11</v>
      </c>
      <c r="AC2" s="9" t="s">
        <v>8</v>
      </c>
      <c r="AD2" s="7" t="s">
        <v>42</v>
      </c>
      <c r="AE2" s="7" t="s">
        <v>43</v>
      </c>
      <c r="AF2" s="108" t="s">
        <v>59</v>
      </c>
      <c r="AG2" s="108" t="s">
        <v>60</v>
      </c>
      <c r="AH2" s="109" t="s">
        <v>61</v>
      </c>
      <c r="AI2" s="39"/>
    </row>
    <row r="3" spans="1:35" ht="15" customHeight="1" hidden="1">
      <c r="A3" s="21"/>
      <c r="B3" s="101"/>
      <c r="C3" s="99"/>
      <c r="D3" s="23"/>
      <c r="E3" s="25">
        <f>G3+I3+K3+M3+O3+Q3+S3+U3+W3+Z3</f>
        <v>8664</v>
      </c>
      <c r="F3" s="24">
        <v>10.64</v>
      </c>
      <c r="G3" s="23">
        <f>IF(F3&lt;&gt;0,INT(25.4347*(18-F3)^1.81),0)</f>
        <v>942</v>
      </c>
      <c r="H3" s="24">
        <v>7.6</v>
      </c>
      <c r="I3" s="23">
        <f>IF(H3&lt;&gt;0,INT(0.14354*((H3*100)-220)^1.4),0)</f>
        <v>960</v>
      </c>
      <c r="J3" s="24">
        <v>15.82</v>
      </c>
      <c r="K3" s="23">
        <f>IF(J3&lt;&gt;0,INT(51.39*(J3-1.5)^1.05),0)</f>
        <v>840</v>
      </c>
      <c r="L3" s="24">
        <v>1.98</v>
      </c>
      <c r="M3" s="23">
        <f>IF(L3&lt;&gt;0,INT(0.8465*((L3*100)-75)^1.42),0)</f>
        <v>785</v>
      </c>
      <c r="N3" s="24">
        <v>48.29</v>
      </c>
      <c r="O3" s="23">
        <f>IF(N3&lt;&gt;0,INT(1.53775*(82-N3)^1.81),0)</f>
        <v>895</v>
      </c>
      <c r="P3" s="24">
        <v>13.79</v>
      </c>
      <c r="Q3" s="23">
        <f>IF(P3&lt;&gt;0,INT(5.74352*(28.5-P3)^1.92),0)</f>
        <v>1002</v>
      </c>
      <c r="R3" s="24">
        <v>46.28</v>
      </c>
      <c r="S3" s="23">
        <f>IF(R3&lt;&gt;0,INT(12.91*(R3-4)^1.1),0)</f>
        <v>793</v>
      </c>
      <c r="T3" s="24">
        <v>4.7</v>
      </c>
      <c r="U3" s="23">
        <f>IF(T3&lt;&gt;0,INT(0.2797*((T3*100)-100)^1.35),0)</f>
        <v>819</v>
      </c>
      <c r="V3" s="24">
        <v>70.16</v>
      </c>
      <c r="W3" s="23">
        <f>IF(V3&lt;&gt;0,INT(10.14*(V3-7)^1.08),0)</f>
        <v>892</v>
      </c>
      <c r="X3" s="23">
        <v>4</v>
      </c>
      <c r="Y3" s="24">
        <v>31.25</v>
      </c>
      <c r="Z3" s="23">
        <f>IF(X3+Y3&lt;&gt;0,INT(0.03768*(480-((X3*60)+Y3))^1.85),0)</f>
        <v>736</v>
      </c>
      <c r="AA3" s="25">
        <f>G3+I3+K3+M3+O3</f>
        <v>4422</v>
      </c>
      <c r="AB3" s="25">
        <f>Q3+S3+U3+W3+Z3</f>
        <v>4242</v>
      </c>
      <c r="AC3" s="39"/>
      <c r="AD3" s="39"/>
      <c r="AE3" s="39"/>
      <c r="AF3" s="39"/>
      <c r="AG3" s="39"/>
      <c r="AH3" s="39"/>
      <c r="AI3" s="39"/>
    </row>
    <row r="4" spans="1:34" s="5" customFormat="1" ht="12">
      <c r="A4" s="49" t="s">
        <v>18</v>
      </c>
      <c r="B4" s="95" t="s">
        <v>84</v>
      </c>
      <c r="C4" s="50">
        <v>92</v>
      </c>
      <c r="D4" s="50" t="s">
        <v>76</v>
      </c>
      <c r="E4" s="49">
        <f>G4+I4+K4+M4+O4+Q4+S4+U4+W4+Z4</f>
        <v>4486</v>
      </c>
      <c r="F4" s="132">
        <v>12.48</v>
      </c>
      <c r="G4" s="50">
        <f>IF(F4&lt;&gt;0,INT(25.4347*(18-F4)^1.81),0)</f>
        <v>560</v>
      </c>
      <c r="H4" s="132">
        <v>5.37</v>
      </c>
      <c r="I4" s="50">
        <f>IF(H4&lt;&gt;0,INT(0.14354*((H4*100)-220)^1.4),0)</f>
        <v>455</v>
      </c>
      <c r="J4" s="132">
        <v>10.27</v>
      </c>
      <c r="K4" s="50">
        <f>IF(J4&lt;&gt;0,INT(51.39*(J4-1.5)^1.05),0)</f>
        <v>502</v>
      </c>
      <c r="L4" s="50">
        <v>1.66</v>
      </c>
      <c r="M4" s="50">
        <f>IF(L4&lt;&gt;0,INT(0.8465*((L4*100)-75)^1.42),0)</f>
        <v>512</v>
      </c>
      <c r="N4" s="132">
        <v>60.44</v>
      </c>
      <c r="O4" s="50">
        <f>IF(N4&lt;&gt;0,INT(1.53775*(82-N4)^1.81),0)</f>
        <v>398</v>
      </c>
      <c r="P4" s="132">
        <v>21.55</v>
      </c>
      <c r="Q4" s="50">
        <f>IF(P4&lt;&gt;0,INT(5.74352*(28.5-P4)^1.92),0)</f>
        <v>237</v>
      </c>
      <c r="R4" s="132">
        <v>25.09</v>
      </c>
      <c r="S4" s="50">
        <f>IF(R4&lt;&gt;0,INT(12.91*(R4-4)^1.1),0)</f>
        <v>369</v>
      </c>
      <c r="T4" s="132">
        <v>3.9</v>
      </c>
      <c r="U4" s="50">
        <f>IF(T4&lt;&gt;0,INT(0.2797*((T4*100)-100)^1.35),0)</f>
        <v>590</v>
      </c>
      <c r="V4" s="132">
        <v>35.23</v>
      </c>
      <c r="W4" s="50">
        <f>IF(V4&lt;&gt;0,INT(10.14*(V4-7)^1.08),0)</f>
        <v>373</v>
      </c>
      <c r="X4" s="111">
        <v>5</v>
      </c>
      <c r="Y4" s="133">
        <v>12.4</v>
      </c>
      <c r="Z4" s="50">
        <f>IF(X4+Y4&lt;&gt;0,INT(0.03768*(480-((X4*60)+Y4))^1.85),0)</f>
        <v>490</v>
      </c>
      <c r="AA4" s="49">
        <f>G4+I4+K4+M4+O4</f>
        <v>2427</v>
      </c>
      <c r="AB4" s="73">
        <f>Q4+S4+U4+W4+Z4</f>
        <v>2059</v>
      </c>
      <c r="AC4" s="95" t="s">
        <v>84</v>
      </c>
      <c r="AD4" s="50">
        <v>92</v>
      </c>
      <c r="AE4" s="50" t="s">
        <v>76</v>
      </c>
      <c r="AF4" s="134" t="s">
        <v>206</v>
      </c>
      <c r="AG4" s="134" t="s">
        <v>207</v>
      </c>
      <c r="AH4" s="134" t="s">
        <v>231</v>
      </c>
    </row>
    <row r="5" spans="1:34" s="5" customFormat="1" ht="12">
      <c r="A5" s="49" t="s">
        <v>19</v>
      </c>
      <c r="B5" s="94" t="s">
        <v>205</v>
      </c>
      <c r="C5" s="50">
        <v>84</v>
      </c>
      <c r="D5" s="50" t="s">
        <v>82</v>
      </c>
      <c r="E5" s="49">
        <f>G5+I5+K5+M5+O5+Q5+S5+U5+W5+Z5</f>
        <v>3515</v>
      </c>
      <c r="F5" s="132">
        <v>13.1</v>
      </c>
      <c r="G5" s="50">
        <f>IF(F5&lt;&gt;0,INT(25.4347*(18-F5)^1.81),0)</f>
        <v>451</v>
      </c>
      <c r="H5" s="132">
        <v>5.54</v>
      </c>
      <c r="I5" s="50">
        <f>IF(H5&lt;&gt;0,INT(0.14354*((H5*100)-220)^1.4),0)</f>
        <v>490</v>
      </c>
      <c r="J5" s="132">
        <v>8.39</v>
      </c>
      <c r="K5" s="50">
        <f>IF(J5&lt;&gt;0,INT(51.39*(J5-1.5)^1.05),0)</f>
        <v>389</v>
      </c>
      <c r="L5" s="132">
        <v>1.6</v>
      </c>
      <c r="M5" s="50">
        <f>IF(L5&lt;&gt;0,INT(0.8465*((L5*100)-75)^1.42),0)</f>
        <v>464</v>
      </c>
      <c r="N5" s="132">
        <v>64.3</v>
      </c>
      <c r="O5" s="50">
        <f>IF(N5&lt;&gt;0,INT(1.53775*(82-N5)^1.81),0)</f>
        <v>279</v>
      </c>
      <c r="P5" s="132" t="s">
        <v>209</v>
      </c>
      <c r="Q5" s="50">
        <v>0</v>
      </c>
      <c r="R5" s="132">
        <v>34.37</v>
      </c>
      <c r="S5" s="50">
        <f>IF(R5&lt;&gt;0,INT(12.91*(R5-4)^1.1),0)</f>
        <v>551</v>
      </c>
      <c r="T5" s="132">
        <v>2.5</v>
      </c>
      <c r="U5" s="50">
        <f>IF(T5&lt;&gt;0,INT(0.2797*((T5*100)-100)^1.35),0)</f>
        <v>242</v>
      </c>
      <c r="V5" s="132">
        <v>36.34</v>
      </c>
      <c r="W5" s="50">
        <f>IF(V5&lt;&gt;0,INT(10.14*(V5-7)^1.08),0)</f>
        <v>389</v>
      </c>
      <c r="X5" s="111">
        <v>6</v>
      </c>
      <c r="Y5" s="133">
        <v>1.06</v>
      </c>
      <c r="Z5" s="50">
        <f>IF(X5+Y5&lt;&gt;0,INT(0.03768*(480-((X5*60)+Y5))^1.85),0)</f>
        <v>260</v>
      </c>
      <c r="AA5" s="49">
        <f>G5+I5+K5+M5+O5</f>
        <v>2073</v>
      </c>
      <c r="AB5" s="73">
        <f>Q5+S5+U5+W5+Z5</f>
        <v>1442</v>
      </c>
      <c r="AC5" s="94" t="s">
        <v>205</v>
      </c>
      <c r="AD5" s="50">
        <v>84</v>
      </c>
      <c r="AE5" s="50" t="s">
        <v>82</v>
      </c>
      <c r="AF5" s="134" t="s">
        <v>206</v>
      </c>
      <c r="AG5" s="134" t="s">
        <v>212</v>
      </c>
      <c r="AH5" s="134" t="s">
        <v>231</v>
      </c>
    </row>
    <row r="6" spans="1:34" s="5" customFormat="1" ht="12">
      <c r="A6" s="49" t="s">
        <v>20</v>
      </c>
      <c r="B6" s="94" t="s">
        <v>200</v>
      </c>
      <c r="C6" s="50">
        <v>81</v>
      </c>
      <c r="D6" s="50" t="s">
        <v>126</v>
      </c>
      <c r="E6" s="49">
        <f>G6+I6+K6+M6+O6+Q6+S6+U6+W6+Z6</f>
        <v>2716</v>
      </c>
      <c r="F6" s="132">
        <v>13.74</v>
      </c>
      <c r="G6" s="50">
        <f>IF(F6&lt;&gt;0,INT(25.4347*(18-F6)^1.81),0)</f>
        <v>350</v>
      </c>
      <c r="H6" s="132">
        <v>5.44</v>
      </c>
      <c r="I6" s="50">
        <f>IF(H6&lt;&gt;0,INT(0.14354*((H6*100)-220)^1.4),0)</f>
        <v>469</v>
      </c>
      <c r="J6" s="132">
        <v>7.41</v>
      </c>
      <c r="K6" s="50">
        <f>IF(J6&lt;&gt;0,INT(51.39*(J6-1.5)^1.05),0)</f>
        <v>331</v>
      </c>
      <c r="L6" s="50">
        <v>1.42</v>
      </c>
      <c r="M6" s="50">
        <f>IF(L6&lt;&gt;0,INT(0.8465*((L6*100)-75)^1.42),0)</f>
        <v>331</v>
      </c>
      <c r="N6" s="132">
        <v>66.39</v>
      </c>
      <c r="O6" s="50">
        <f>IF(N6&lt;&gt;0,INT(1.53775*(82-N6)^1.81),0)</f>
        <v>222</v>
      </c>
      <c r="P6" s="132">
        <v>24.82</v>
      </c>
      <c r="Q6" s="50">
        <f>IF(P6&lt;&gt;0,INT(5.74352*(28.5-P6)^1.92),0)</f>
        <v>70</v>
      </c>
      <c r="R6" s="132">
        <v>23.13</v>
      </c>
      <c r="S6" s="50">
        <f>IF(R6&lt;&gt;0,INT(12.91*(R6-4)^1.1),0)</f>
        <v>331</v>
      </c>
      <c r="T6" s="132">
        <v>0</v>
      </c>
      <c r="U6" s="50">
        <f>IF(T6&lt;&gt;0,INT(0.2797*((T6*100)-100)^1.35),0)</f>
        <v>0</v>
      </c>
      <c r="V6" s="132">
        <v>25.86</v>
      </c>
      <c r="W6" s="50">
        <f>IF(V6&lt;&gt;0,INT(10.14*(V6-7)^1.08),0)</f>
        <v>241</v>
      </c>
      <c r="X6" s="111">
        <v>5</v>
      </c>
      <c r="Y6" s="133">
        <v>35.81</v>
      </c>
      <c r="Z6" s="50">
        <f>IF(X6+Y6&lt;&gt;0,INT(0.03768*(480-((X6*60)+Y6))^1.85),0)</f>
        <v>371</v>
      </c>
      <c r="AA6" s="49">
        <f>G6+I6+K6+M6+O6</f>
        <v>1703</v>
      </c>
      <c r="AB6" s="73">
        <f>Q6+S6+U6+W6+Z6</f>
        <v>1013</v>
      </c>
      <c r="AC6" s="94" t="s">
        <v>200</v>
      </c>
      <c r="AD6" s="50">
        <v>81</v>
      </c>
      <c r="AE6" s="50" t="s">
        <v>126</v>
      </c>
      <c r="AF6" s="134" t="s">
        <v>206</v>
      </c>
      <c r="AG6" s="134" t="s">
        <v>207</v>
      </c>
      <c r="AH6" s="134" t="s">
        <v>231</v>
      </c>
    </row>
    <row r="7" spans="1:34" s="5" customFormat="1" ht="12">
      <c r="A7" s="49" t="s">
        <v>21</v>
      </c>
      <c r="B7" s="94" t="s">
        <v>85</v>
      </c>
      <c r="C7" s="50">
        <v>58</v>
      </c>
      <c r="D7" s="50" t="s">
        <v>82</v>
      </c>
      <c r="E7" s="73">
        <f>G7+I7+K7+M7+O7+Q7+S7+U7+W7+Z7</f>
        <v>2340</v>
      </c>
      <c r="F7" s="132">
        <v>15.66</v>
      </c>
      <c r="G7" s="70">
        <f>IF(F7&lt;&gt;0,INT(25.4347*(18-F7)^1.81),0)</f>
        <v>118</v>
      </c>
      <c r="H7" s="69">
        <v>4.03</v>
      </c>
      <c r="I7" s="70">
        <f>IF(H7&lt;&gt;0,INT(0.14354*((H7*100)-220)^1.4),0)</f>
        <v>211</v>
      </c>
      <c r="J7" s="69">
        <v>8.49</v>
      </c>
      <c r="K7" s="70">
        <f>IF(J7&lt;&gt;0,INT(51.39*(J7-1.5)^1.05),0)</f>
        <v>395</v>
      </c>
      <c r="L7" s="69">
        <v>1.33</v>
      </c>
      <c r="M7" s="70">
        <f>IF(L7&lt;&gt;0,INT(0.8465*((L7*100)-75)^1.42),0)</f>
        <v>270</v>
      </c>
      <c r="N7" s="69">
        <v>72.39</v>
      </c>
      <c r="O7" s="70">
        <f>IF(N7&lt;&gt;0,INT(1.53775*(82-N7)^1.81),0)</f>
        <v>92</v>
      </c>
      <c r="P7" s="69" t="s">
        <v>209</v>
      </c>
      <c r="Q7" s="70">
        <v>0</v>
      </c>
      <c r="R7" s="69">
        <v>26.96</v>
      </c>
      <c r="S7" s="70">
        <f>IF(R7&lt;&gt;0,INT(12.91*(R7-4)^1.1),0)</f>
        <v>405</v>
      </c>
      <c r="T7" s="69">
        <v>2.5</v>
      </c>
      <c r="U7" s="70">
        <f>IF(T7&lt;&gt;0,INT(0.2797*((T7*100)-100)^1.35),0)</f>
        <v>242</v>
      </c>
      <c r="V7" s="69">
        <v>36.55</v>
      </c>
      <c r="W7" s="70">
        <f>IF(V7&lt;&gt;0,INT(10.14*(V7-7)^1.08),0)</f>
        <v>392</v>
      </c>
      <c r="X7" s="71">
        <v>6</v>
      </c>
      <c r="Y7" s="72">
        <v>12.59</v>
      </c>
      <c r="Z7" s="70">
        <f>IF(X7+Y7&lt;&gt;0,INT(0.03768*(480-((X7*60)+Y7))^1.85),0)</f>
        <v>215</v>
      </c>
      <c r="AA7" s="73">
        <f>G7+I7+K7+M7+O7</f>
        <v>1086</v>
      </c>
      <c r="AB7" s="73">
        <f>Q7+S7+U7+W7+Z7</f>
        <v>1254</v>
      </c>
      <c r="AC7" s="94" t="s">
        <v>85</v>
      </c>
      <c r="AD7" s="50">
        <v>58</v>
      </c>
      <c r="AE7" s="50" t="s">
        <v>82</v>
      </c>
      <c r="AF7" s="134" t="s">
        <v>206</v>
      </c>
      <c r="AG7" s="134" t="s">
        <v>207</v>
      </c>
      <c r="AH7" s="134" t="s">
        <v>231</v>
      </c>
    </row>
    <row r="8" spans="1:34" s="5" customFormat="1" ht="12">
      <c r="A8" s="145"/>
      <c r="B8" s="215"/>
      <c r="C8" s="216"/>
      <c r="D8" s="216"/>
      <c r="E8" s="145"/>
      <c r="F8" s="147"/>
      <c r="G8" s="216"/>
      <c r="H8" s="147"/>
      <c r="I8" s="216"/>
      <c r="J8" s="147"/>
      <c r="K8" s="216"/>
      <c r="L8" s="216"/>
      <c r="M8" s="216"/>
      <c r="N8" s="147"/>
      <c r="O8" s="216"/>
      <c r="P8" s="147"/>
      <c r="Q8" s="216"/>
      <c r="R8" s="147"/>
      <c r="S8" s="216"/>
      <c r="T8" s="147"/>
      <c r="U8" s="216"/>
      <c r="V8" s="147"/>
      <c r="W8" s="216"/>
      <c r="X8" s="216"/>
      <c r="Y8" s="147"/>
      <c r="Z8" s="216"/>
      <c r="AA8" s="145"/>
      <c r="AB8" s="145"/>
      <c r="AC8" s="215"/>
      <c r="AD8" s="216"/>
      <c r="AE8" s="216"/>
      <c r="AF8" s="217"/>
      <c r="AG8" s="217"/>
      <c r="AH8" s="217"/>
    </row>
    <row r="9" spans="1:34" s="5" customFormat="1" ht="21" thickBot="1">
      <c r="A9" s="286" t="s">
        <v>73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15"/>
      <c r="AD9" s="216"/>
      <c r="AE9" s="216"/>
      <c r="AF9" s="217"/>
      <c r="AG9" s="217"/>
      <c r="AH9" s="217"/>
    </row>
    <row r="10" spans="1:34" ht="62.25" thickBot="1">
      <c r="A10" s="9" t="s">
        <v>9</v>
      </c>
      <c r="B10" s="10" t="s">
        <v>8</v>
      </c>
      <c r="C10" s="7" t="s">
        <v>42</v>
      </c>
      <c r="D10" s="7" t="s">
        <v>43</v>
      </c>
      <c r="E10" s="7" t="s">
        <v>12</v>
      </c>
      <c r="F10" s="58" t="s">
        <v>44</v>
      </c>
      <c r="G10" s="7" t="s">
        <v>0</v>
      </c>
      <c r="H10" s="58" t="s">
        <v>2</v>
      </c>
      <c r="I10" s="7" t="s">
        <v>0</v>
      </c>
      <c r="J10" s="58" t="s">
        <v>1</v>
      </c>
      <c r="K10" s="7" t="s">
        <v>0</v>
      </c>
      <c r="L10" s="58" t="s">
        <v>3</v>
      </c>
      <c r="M10" s="7" t="s">
        <v>0</v>
      </c>
      <c r="N10" s="58" t="s">
        <v>45</v>
      </c>
      <c r="O10" s="7" t="s">
        <v>0</v>
      </c>
      <c r="P10" s="58" t="s">
        <v>46</v>
      </c>
      <c r="Q10" s="7" t="s">
        <v>0</v>
      </c>
      <c r="R10" s="58" t="s">
        <v>4</v>
      </c>
      <c r="S10" s="7" t="s">
        <v>0</v>
      </c>
      <c r="T10" s="58" t="s">
        <v>5</v>
      </c>
      <c r="U10" s="7" t="s">
        <v>0</v>
      </c>
      <c r="V10" s="58" t="s">
        <v>6</v>
      </c>
      <c r="W10" s="7" t="s">
        <v>0</v>
      </c>
      <c r="X10" s="210" t="s">
        <v>47</v>
      </c>
      <c r="Y10" s="211"/>
      <c r="Z10" s="7" t="s">
        <v>0</v>
      </c>
      <c r="AA10" s="7" t="s">
        <v>7</v>
      </c>
      <c r="AB10" s="8" t="s">
        <v>11</v>
      </c>
      <c r="AC10" s="9" t="s">
        <v>8</v>
      </c>
      <c r="AD10" s="7" t="s">
        <v>42</v>
      </c>
      <c r="AE10" s="7" t="s">
        <v>43</v>
      </c>
      <c r="AF10" s="108" t="s">
        <v>59</v>
      </c>
      <c r="AG10" s="108" t="s">
        <v>60</v>
      </c>
      <c r="AH10" s="109" t="s">
        <v>61</v>
      </c>
    </row>
    <row r="11" spans="1:34" s="5" customFormat="1" ht="0.75" customHeight="1">
      <c r="A11" s="21"/>
      <c r="B11" s="22">
        <v>91</v>
      </c>
      <c r="C11" s="23"/>
      <c r="D11" s="23"/>
      <c r="E11" s="25">
        <f>G11+I11+K11+M11+O11+Q11+S11+U11+W11+Z11</f>
        <v>8664</v>
      </c>
      <c r="F11" s="24">
        <v>10.64</v>
      </c>
      <c r="G11" s="23">
        <f>IF(F11&lt;&gt;0,INT(25.4347*(18-F11)^1.81),0)</f>
        <v>942</v>
      </c>
      <c r="H11" s="24">
        <v>7.6</v>
      </c>
      <c r="I11" s="23">
        <f>IF(H11&lt;&gt;0,INT(0.14354*((H11*100)-220)^1.4),0)</f>
        <v>960</v>
      </c>
      <c r="J11" s="24">
        <v>15.82</v>
      </c>
      <c r="K11" s="23">
        <f>IF(J11&lt;&gt;0,INT(51.39*(J11-1.5)^1.05),0)</f>
        <v>840</v>
      </c>
      <c r="L11" s="24">
        <v>1.98</v>
      </c>
      <c r="M11" s="23">
        <f>IF(L11&lt;&gt;0,INT(0.8465*((L11*100)-75)^1.42),0)</f>
        <v>785</v>
      </c>
      <c r="N11" s="24">
        <v>48.29</v>
      </c>
      <c r="O11" s="23">
        <f>IF(N11&lt;&gt;0,INT(1.53775*(82-N11)^1.81),0)</f>
        <v>895</v>
      </c>
      <c r="P11" s="24">
        <v>13.79</v>
      </c>
      <c r="Q11" s="23">
        <f>IF(P11&lt;&gt;0,INT(5.74352*(28.5-P11)^1.92),0)</f>
        <v>1002</v>
      </c>
      <c r="R11" s="24">
        <v>46.28</v>
      </c>
      <c r="S11" s="23">
        <f>IF(R11&lt;&gt;0,INT(12.91*(R11-4)^1.1),0)</f>
        <v>793</v>
      </c>
      <c r="T11" s="24">
        <v>4.7</v>
      </c>
      <c r="U11" s="23">
        <f>IF(T11&lt;&gt;0,INT(0.2797*((T11*100)-100)^1.35),0)</f>
        <v>819</v>
      </c>
      <c r="V11" s="24">
        <v>70.16</v>
      </c>
      <c r="W11" s="23">
        <f>IF(V11&lt;&gt;0,INT(10.14*(V11-7)^1.08),0)</f>
        <v>892</v>
      </c>
      <c r="X11" s="23">
        <v>4</v>
      </c>
      <c r="Y11" s="24">
        <v>31.25</v>
      </c>
      <c r="Z11" s="23">
        <f>IF(X11+Y11&lt;&gt;0,INT(0.03768*(480-((X11*60)+Y11))^1.85),0)</f>
        <v>736</v>
      </c>
      <c r="AA11" s="25">
        <f>G11+I11+K11+M11+O11</f>
        <v>4422</v>
      </c>
      <c r="AB11" s="25">
        <f>Q11+S11+U11+W11+Z11</f>
        <v>4242</v>
      </c>
      <c r="AC11" s="39"/>
      <c r="AD11" s="39"/>
      <c r="AE11" s="39"/>
      <c r="AF11" s="39"/>
      <c r="AG11" s="39"/>
      <c r="AH11" s="39"/>
    </row>
    <row r="12" spans="1:34" ht="12.75">
      <c r="A12" s="49" t="s">
        <v>18</v>
      </c>
      <c r="B12" s="94" t="s">
        <v>88</v>
      </c>
      <c r="C12" s="50">
        <v>94</v>
      </c>
      <c r="D12" s="50" t="s">
        <v>89</v>
      </c>
      <c r="E12" s="73">
        <f>G12+I12+K12+M12+O12+Q12+S12+U12+W12+Z12</f>
        <v>6093</v>
      </c>
      <c r="F12" s="132">
        <v>11.96</v>
      </c>
      <c r="G12" s="70">
        <f>IF(F12&lt;&gt;0,INT(25.4347*(18-F12)^1.81),0)</f>
        <v>659</v>
      </c>
      <c r="H12" s="69">
        <v>6.28</v>
      </c>
      <c r="I12" s="70">
        <f>IF(H12&lt;&gt;0,INT(0.14354*((H12*100)-220)^1.4),0)</f>
        <v>648</v>
      </c>
      <c r="J12" s="69">
        <v>12.6</v>
      </c>
      <c r="K12" s="70">
        <f>IF(J12&lt;&gt;0,INT(51.39*(J12-1.5)^1.05),0)</f>
        <v>643</v>
      </c>
      <c r="L12" s="72">
        <v>1.81</v>
      </c>
      <c r="M12" s="70">
        <f>IF(L12&lt;&gt;0,INT(0.8465*((L12*100)-75)^1.42),0)</f>
        <v>636</v>
      </c>
      <c r="N12" s="72">
        <v>55.56</v>
      </c>
      <c r="O12" s="70">
        <f>IF(N12&lt;&gt;0,INT(1.53775*(82-N12)^1.81),0)</f>
        <v>577</v>
      </c>
      <c r="P12" s="72">
        <v>15.56</v>
      </c>
      <c r="Q12" s="70">
        <f>IF(P12&lt;&gt;0,INT(5.74352*(28.5-P12)^1.92),0)</f>
        <v>783</v>
      </c>
      <c r="R12" s="72">
        <v>33.57</v>
      </c>
      <c r="S12" s="70">
        <f>IF(R12&lt;&gt;0,INT(12.91*(R12-4)^1.1),0)</f>
        <v>535</v>
      </c>
      <c r="T12" s="72">
        <v>3.9</v>
      </c>
      <c r="U12" s="70">
        <f>IF(T12&lt;&gt;0,INT(0.2797*((T12*100)-100)^1.35),0)</f>
        <v>590</v>
      </c>
      <c r="V12" s="72">
        <v>49.38</v>
      </c>
      <c r="W12" s="70">
        <f>IF(V12&lt;&gt;0,INT(10.14*(V12-7)^1.08),0)</f>
        <v>579</v>
      </c>
      <c r="X12" s="75">
        <v>5</v>
      </c>
      <c r="Y12" s="74">
        <v>21.42</v>
      </c>
      <c r="Z12" s="70">
        <f>IF(X12+Y12&lt;&gt;0,INT(0.03768*(480-((X12*60)+Y12))^1.85),0)</f>
        <v>443</v>
      </c>
      <c r="AA12" s="73">
        <f>G12+I12+K12+M12+O12</f>
        <v>3163</v>
      </c>
      <c r="AB12" s="73">
        <f>Q12+S12+U12+W12+Z12</f>
        <v>2930</v>
      </c>
      <c r="AC12" s="94" t="s">
        <v>88</v>
      </c>
      <c r="AD12" s="50">
        <v>94</v>
      </c>
      <c r="AE12" s="50" t="s">
        <v>89</v>
      </c>
      <c r="AF12" s="134" t="s">
        <v>206</v>
      </c>
      <c r="AG12" s="134" t="s">
        <v>213</v>
      </c>
      <c r="AH12" s="134" t="s">
        <v>207</v>
      </c>
    </row>
    <row r="13" spans="1:35" ht="12">
      <c r="A13" s="49" t="s">
        <v>19</v>
      </c>
      <c r="B13" s="94" t="s">
        <v>86</v>
      </c>
      <c r="C13" s="50">
        <v>94</v>
      </c>
      <c r="D13" s="50" t="s">
        <v>87</v>
      </c>
      <c r="E13" s="73">
        <f>G13+I13+K13+M13+O13+Q13+S13+U13+W13+Z13</f>
        <v>5272</v>
      </c>
      <c r="F13" s="132">
        <v>12.19</v>
      </c>
      <c r="G13" s="70">
        <f>IF(F13&lt;&gt;0,INT(25.4347*(18-F13)^1.81),0)</f>
        <v>614</v>
      </c>
      <c r="H13" s="69">
        <v>6.02</v>
      </c>
      <c r="I13" s="70">
        <f>IF(H13&lt;&gt;0,INT(0.14354*((H13*100)-220)^1.4),0)</f>
        <v>591</v>
      </c>
      <c r="J13" s="69">
        <v>10.15</v>
      </c>
      <c r="K13" s="70">
        <f>IF(J13&lt;&gt;0,INT(51.39*(J13-1.5)^1.05),0)</f>
        <v>495</v>
      </c>
      <c r="L13" s="72">
        <v>1.78</v>
      </c>
      <c r="M13" s="70">
        <f>IF(L13&lt;&gt;0,INT(0.8465*((L13*100)-75)^1.42),0)</f>
        <v>610</v>
      </c>
      <c r="N13" s="72">
        <v>56.99</v>
      </c>
      <c r="O13" s="70">
        <f>IF(N13&lt;&gt;0,INT(1.53775*(82-N13)^1.81),0)</f>
        <v>521</v>
      </c>
      <c r="P13" s="72">
        <v>16.24</v>
      </c>
      <c r="Q13" s="70">
        <f>IF(P13&lt;&gt;0,INT(5.74352*(28.5-P13)^1.92),0)</f>
        <v>706</v>
      </c>
      <c r="R13" s="72">
        <v>27.48</v>
      </c>
      <c r="S13" s="70">
        <f>IF(R13&lt;&gt;0,INT(12.91*(R13-4)^1.1),0)</f>
        <v>415</v>
      </c>
      <c r="T13" s="72">
        <v>3.4</v>
      </c>
      <c r="U13" s="70">
        <f>IF(T13&lt;&gt;0,INT(0.2797*((T13*100)-100)^1.35),0)</f>
        <v>457</v>
      </c>
      <c r="V13" s="72">
        <v>33.63</v>
      </c>
      <c r="W13" s="70">
        <f>IF(V13&lt;&gt;0,INT(10.14*(V13-7)^1.08),0)</f>
        <v>351</v>
      </c>
      <c r="X13" s="75">
        <v>5</v>
      </c>
      <c r="Y13" s="72">
        <v>8.4</v>
      </c>
      <c r="Z13" s="70">
        <f>IF(X13+Y13&lt;&gt;0,INT(0.03768*(480-((X13*60)+Y13))^1.85),0)</f>
        <v>512</v>
      </c>
      <c r="AA13" s="73">
        <f>G13+I13+K13+M13+O13</f>
        <v>2831</v>
      </c>
      <c r="AB13" s="73">
        <f>Q13+S13+U13+W13+Z13</f>
        <v>2441</v>
      </c>
      <c r="AC13" s="94" t="s">
        <v>86</v>
      </c>
      <c r="AD13" s="50">
        <v>94</v>
      </c>
      <c r="AE13" s="50" t="s">
        <v>87</v>
      </c>
      <c r="AF13" s="134" t="s">
        <v>206</v>
      </c>
      <c r="AG13" s="134" t="s">
        <v>207</v>
      </c>
      <c r="AH13" s="134" t="s">
        <v>207</v>
      </c>
      <c r="AI13" s="39"/>
    </row>
    <row r="14" spans="1:35" ht="12">
      <c r="A14" s="49" t="s">
        <v>20</v>
      </c>
      <c r="B14" s="94" t="s">
        <v>90</v>
      </c>
      <c r="C14" s="50">
        <v>94</v>
      </c>
      <c r="D14" s="50" t="s">
        <v>91</v>
      </c>
      <c r="E14" s="73">
        <f>G14+I14+K14+M14+O14+Q14+S14+U14+W14+Z14</f>
        <v>5244</v>
      </c>
      <c r="F14" s="132">
        <v>12.22</v>
      </c>
      <c r="G14" s="70">
        <f>IF(F14&lt;&gt;0,INT(25.4347*(18-F14)^1.81),0)</f>
        <v>608</v>
      </c>
      <c r="H14" s="69">
        <v>6</v>
      </c>
      <c r="I14" s="70">
        <f>IF(H14&lt;&gt;0,INT(0.14354*((H14*100)-220)^1.4),0)</f>
        <v>587</v>
      </c>
      <c r="J14" s="69">
        <v>13.46</v>
      </c>
      <c r="K14" s="70">
        <f>IF(J14&lt;&gt;0,INT(51.39*(J14-1.5)^1.05),0)</f>
        <v>695</v>
      </c>
      <c r="L14" s="72">
        <v>1.75</v>
      </c>
      <c r="M14" s="70">
        <f>IF(L14&lt;&gt;0,INT(0.8465*((L14*100)-75)^1.42),0)</f>
        <v>585</v>
      </c>
      <c r="N14" s="72">
        <v>57.99</v>
      </c>
      <c r="O14" s="70">
        <f>IF(N14&lt;&gt;0,INT(1.53775*(82-N14)^1.81),0)</f>
        <v>484</v>
      </c>
      <c r="P14" s="72">
        <v>19</v>
      </c>
      <c r="Q14" s="70">
        <f>IF(P14&lt;&gt;0,INT(5.74352*(28.5-P14)^1.92),0)</f>
        <v>432</v>
      </c>
      <c r="R14" s="72">
        <v>33.15</v>
      </c>
      <c r="S14" s="70">
        <f>IF(R14&lt;&gt;0,INT(12.91*(R14-4)^1.1),0)</f>
        <v>527</v>
      </c>
      <c r="T14" s="72">
        <v>3.2</v>
      </c>
      <c r="U14" s="70">
        <f>IF(T14&lt;&gt;0,INT(0.2797*((T14*100)-100)^1.35),0)</f>
        <v>406</v>
      </c>
      <c r="V14" s="72">
        <v>49.49</v>
      </c>
      <c r="W14" s="70">
        <f>IF(V14&lt;&gt;0,INT(10.14*(V14-7)^1.08),0)</f>
        <v>581</v>
      </c>
      <c r="X14" s="75">
        <v>5</v>
      </c>
      <c r="Y14" s="74">
        <v>42.6</v>
      </c>
      <c r="Z14" s="70">
        <f>IF(X14+Y14&lt;&gt;0,INT(0.03768*(480-((X14*60)+Y14))^1.85),0)</f>
        <v>339</v>
      </c>
      <c r="AA14" s="73">
        <f>G14+I14+K14+M14+O14</f>
        <v>2959</v>
      </c>
      <c r="AB14" s="73">
        <f>Q14+S14+U14+W14+Z14</f>
        <v>2285</v>
      </c>
      <c r="AC14" s="94" t="s">
        <v>90</v>
      </c>
      <c r="AD14" s="50">
        <v>94</v>
      </c>
      <c r="AE14" s="50" t="s">
        <v>91</v>
      </c>
      <c r="AF14" s="134" t="s">
        <v>206</v>
      </c>
      <c r="AG14" s="134" t="s">
        <v>213</v>
      </c>
      <c r="AH14" s="134" t="s">
        <v>207</v>
      </c>
      <c r="AI14" s="39"/>
    </row>
    <row r="15" spans="1:35" ht="12">
      <c r="A15" s="49" t="s">
        <v>21</v>
      </c>
      <c r="B15" s="94" t="s">
        <v>92</v>
      </c>
      <c r="C15" s="50">
        <v>94</v>
      </c>
      <c r="D15" s="50" t="s">
        <v>93</v>
      </c>
      <c r="E15" s="73">
        <f>G15+I15+K15+M15+O15+Q15+S15+U15+W15+Z15</f>
        <v>4768</v>
      </c>
      <c r="F15" s="69">
        <v>12.2</v>
      </c>
      <c r="G15" s="70">
        <f>IF(F15&lt;&gt;0,INT(25.4347*(18-F15)^1.81),0)</f>
        <v>612</v>
      </c>
      <c r="H15" s="69">
        <v>5.57</v>
      </c>
      <c r="I15" s="70">
        <f>IF(H15&lt;&gt;0,INT(0.14354*((H15*100)-220)^1.4),0)</f>
        <v>496</v>
      </c>
      <c r="J15" s="69">
        <v>11.91</v>
      </c>
      <c r="K15" s="70">
        <f>IF(J15&lt;&gt;0,INT(51.39*(J15-1.5)^1.05),0)</f>
        <v>601</v>
      </c>
      <c r="L15" s="72">
        <v>1.69</v>
      </c>
      <c r="M15" s="70">
        <f>IF(L15&lt;&gt;0,INT(0.8465*((L15*100)-75)^1.42),0)</f>
        <v>536</v>
      </c>
      <c r="N15" s="72">
        <v>59.71</v>
      </c>
      <c r="O15" s="70">
        <f>IF(N15&lt;&gt;0,INT(1.53775*(82-N15)^1.81),0)</f>
        <v>423</v>
      </c>
      <c r="P15" s="72">
        <v>18.89</v>
      </c>
      <c r="Q15" s="70">
        <f>IF(P15&lt;&gt;0,INT(5.74352*(28.5-P15)^1.92),0)</f>
        <v>442</v>
      </c>
      <c r="R15" s="72">
        <v>32.04</v>
      </c>
      <c r="S15" s="70">
        <f>IF(R15&lt;&gt;0,INT(12.91*(R15-4)^1.1),0)</f>
        <v>505</v>
      </c>
      <c r="T15" s="72">
        <v>2.8</v>
      </c>
      <c r="U15" s="70">
        <f>IF(T15&lt;&gt;0,INT(0.2797*((T15*100)-100)^1.35),0)</f>
        <v>309</v>
      </c>
      <c r="V15" s="72">
        <v>36.37</v>
      </c>
      <c r="W15" s="70">
        <f>IF(V15&lt;&gt;0,INT(10.14*(V15-7)^1.08),0)</f>
        <v>390</v>
      </c>
      <c r="X15" s="75">
        <v>5</v>
      </c>
      <c r="Y15" s="72">
        <v>19.23</v>
      </c>
      <c r="Z15" s="70">
        <f>IF(X15+Y15&lt;&gt;0,INT(0.03768*(480-((X15*60)+Y15))^1.85),0)</f>
        <v>454</v>
      </c>
      <c r="AA15" s="73">
        <f>G15+I15+K15+M15+O15</f>
        <v>2668</v>
      </c>
      <c r="AB15" s="73">
        <f>Q15+S15+U15+W15+Z15</f>
        <v>2100</v>
      </c>
      <c r="AC15" s="94" t="s">
        <v>92</v>
      </c>
      <c r="AD15" s="50">
        <v>94</v>
      </c>
      <c r="AE15" s="50" t="s">
        <v>93</v>
      </c>
      <c r="AF15" s="134" t="s">
        <v>206</v>
      </c>
      <c r="AG15" s="134" t="s">
        <v>207</v>
      </c>
      <c r="AH15" s="134" t="s">
        <v>207</v>
      </c>
      <c r="AI15" s="39"/>
    </row>
    <row r="16" spans="1:35" ht="12">
      <c r="A16" s="145"/>
      <c r="B16" s="146"/>
      <c r="C16" s="216"/>
      <c r="D16" s="216"/>
      <c r="E16" s="150"/>
      <c r="F16" s="147"/>
      <c r="G16" s="149"/>
      <c r="H16" s="148"/>
      <c r="I16" s="149"/>
      <c r="J16" s="148"/>
      <c r="K16" s="149"/>
      <c r="L16" s="148"/>
      <c r="M16" s="149"/>
      <c r="N16" s="148"/>
      <c r="O16" s="149"/>
      <c r="P16" s="148"/>
      <c r="Q16" s="149"/>
      <c r="R16" s="148"/>
      <c r="S16" s="149"/>
      <c r="T16" s="148"/>
      <c r="U16" s="149"/>
      <c r="V16" s="148"/>
      <c r="W16" s="149"/>
      <c r="X16" s="149"/>
      <c r="Y16" s="219"/>
      <c r="Z16" s="149"/>
      <c r="AA16" s="150"/>
      <c r="AB16" s="150"/>
      <c r="AC16" s="146"/>
      <c r="AD16" s="216"/>
      <c r="AE16" s="216"/>
      <c r="AF16" s="217"/>
      <c r="AG16" s="217"/>
      <c r="AH16" s="217"/>
      <c r="AI16" s="39"/>
    </row>
    <row r="17" spans="1:35" ht="21" thickBot="1">
      <c r="A17" s="286" t="s">
        <v>14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110" t="s">
        <v>62</v>
      </c>
      <c r="AD17" s="5"/>
      <c r="AE17" s="5"/>
      <c r="AF17" s="5"/>
      <c r="AG17" s="5"/>
      <c r="AH17" s="5"/>
      <c r="AI17" s="39"/>
    </row>
    <row r="18" spans="1:35" ht="62.25" thickBot="1">
      <c r="A18" s="9" t="s">
        <v>9</v>
      </c>
      <c r="B18" s="10" t="s">
        <v>8</v>
      </c>
      <c r="C18" s="7" t="s">
        <v>42</v>
      </c>
      <c r="D18" s="7" t="s">
        <v>43</v>
      </c>
      <c r="E18" s="7" t="s">
        <v>12</v>
      </c>
      <c r="F18" s="58" t="s">
        <v>44</v>
      </c>
      <c r="G18" s="7" t="s">
        <v>0</v>
      </c>
      <c r="H18" s="58" t="s">
        <v>2</v>
      </c>
      <c r="I18" s="7" t="s">
        <v>0</v>
      </c>
      <c r="J18" s="58" t="s">
        <v>1</v>
      </c>
      <c r="K18" s="7" t="s">
        <v>0</v>
      </c>
      <c r="L18" s="58" t="s">
        <v>3</v>
      </c>
      <c r="M18" s="7" t="s">
        <v>0</v>
      </c>
      <c r="N18" s="58" t="s">
        <v>45</v>
      </c>
      <c r="O18" s="7" t="s">
        <v>0</v>
      </c>
      <c r="P18" s="58" t="s">
        <v>46</v>
      </c>
      <c r="Q18" s="7" t="s">
        <v>0</v>
      </c>
      <c r="R18" s="58" t="s">
        <v>4</v>
      </c>
      <c r="S18" s="7" t="s">
        <v>0</v>
      </c>
      <c r="T18" s="58" t="s">
        <v>5</v>
      </c>
      <c r="U18" s="7" t="s">
        <v>0</v>
      </c>
      <c r="V18" s="58" t="s">
        <v>6</v>
      </c>
      <c r="W18" s="7" t="s">
        <v>0</v>
      </c>
      <c r="X18" s="284" t="s">
        <v>47</v>
      </c>
      <c r="Y18" s="285"/>
      <c r="Z18" s="7" t="s">
        <v>0</v>
      </c>
      <c r="AA18" s="7" t="s">
        <v>7</v>
      </c>
      <c r="AB18" s="8" t="s">
        <v>11</v>
      </c>
      <c r="AC18" s="10" t="s">
        <v>8</v>
      </c>
      <c r="AD18" s="7" t="s">
        <v>42</v>
      </c>
      <c r="AE18" s="7" t="s">
        <v>43</v>
      </c>
      <c r="AF18" s="108" t="s">
        <v>59</v>
      </c>
      <c r="AG18" s="108" t="s">
        <v>60</v>
      </c>
      <c r="AH18" s="109" t="s">
        <v>61</v>
      </c>
      <c r="AI18" s="39"/>
    </row>
    <row r="19" spans="1:35" ht="12.75" thickBot="1">
      <c r="A19" s="229" t="s">
        <v>18</v>
      </c>
      <c r="B19" s="230" t="s">
        <v>79</v>
      </c>
      <c r="C19" s="231">
        <v>96</v>
      </c>
      <c r="D19" s="226" t="s">
        <v>80</v>
      </c>
      <c r="E19" s="232">
        <f>G19+I19+K19+M19+O19+Q19+S19+U19+W19+Z19</f>
        <v>5865</v>
      </c>
      <c r="F19" s="233">
        <v>11.97</v>
      </c>
      <c r="G19" s="234">
        <f>IF(F19&lt;&gt;0,INT(25.4347*(18-F19)^1.81),0)</f>
        <v>657</v>
      </c>
      <c r="H19" s="233">
        <v>5.86</v>
      </c>
      <c r="I19" s="234">
        <f>IF(H19&lt;&gt;0,INT(0.14354*((H19*100)-220)^1.4),0)</f>
        <v>556</v>
      </c>
      <c r="J19" s="233">
        <v>12.24</v>
      </c>
      <c r="K19" s="234">
        <f>IF(J19&lt;&gt;0,INT(51.39*(J19-1.5)^1.05),0)</f>
        <v>621</v>
      </c>
      <c r="L19" s="233">
        <v>1.84</v>
      </c>
      <c r="M19" s="234">
        <f>IF(L19&lt;&gt;0,INT(0.8465*((L19*100)-75)^1.42),0)</f>
        <v>661</v>
      </c>
      <c r="N19" s="233">
        <v>55.1</v>
      </c>
      <c r="O19" s="234">
        <f>IF(N19&lt;&gt;0,INT(1.53775*(82-N19)^1.81),0)</f>
        <v>595</v>
      </c>
      <c r="P19" s="233">
        <v>15.44</v>
      </c>
      <c r="Q19" s="234">
        <f>IF(P19&lt;&gt;0,INT(5.74352*(28.5-P19)^1.92),0)</f>
        <v>797</v>
      </c>
      <c r="R19" s="233">
        <v>33.61</v>
      </c>
      <c r="S19" s="70">
        <f>IF(R19&lt;&gt;0,INT(12.91*(R19-4)^1.1),0)</f>
        <v>536</v>
      </c>
      <c r="T19" s="233">
        <v>3.7</v>
      </c>
      <c r="U19" s="234">
        <f>IF(T19&lt;&gt;0,INT(0.2797*((T19*100)-100)^1.35),0)</f>
        <v>535</v>
      </c>
      <c r="V19" s="233">
        <v>41.19</v>
      </c>
      <c r="W19" s="76">
        <f>IF(V19&lt;&gt;0,INT(10.14*(V19-7)^1.08),0)</f>
        <v>459</v>
      </c>
      <c r="X19" s="76">
        <v>5</v>
      </c>
      <c r="Y19" s="235">
        <v>20.33</v>
      </c>
      <c r="Z19" s="236">
        <f>IF(X19+Y19&lt;&gt;0,INT(0.03768*(480-((X19*60)+Y19))^1.85),0)</f>
        <v>448</v>
      </c>
      <c r="AA19" s="237">
        <f>G19+I19+K19+M19+O19</f>
        <v>3090</v>
      </c>
      <c r="AB19" s="232">
        <f>Q19+S19+U19+W19+Z19</f>
        <v>2775</v>
      </c>
      <c r="AC19" s="230" t="s">
        <v>79</v>
      </c>
      <c r="AD19" s="231">
        <v>96</v>
      </c>
      <c r="AE19" s="226" t="s">
        <v>80</v>
      </c>
      <c r="AF19" s="113" t="s">
        <v>207</v>
      </c>
      <c r="AG19" s="238" t="s">
        <v>214</v>
      </c>
      <c r="AH19" s="239" t="s">
        <v>217</v>
      </c>
      <c r="AI19" s="39"/>
    </row>
    <row r="20" spans="1:35" ht="12">
      <c r="A20" s="158" t="s">
        <v>19</v>
      </c>
      <c r="B20" s="95" t="s">
        <v>81</v>
      </c>
      <c r="C20" s="96">
        <v>95</v>
      </c>
      <c r="D20" s="50" t="s">
        <v>82</v>
      </c>
      <c r="E20" s="73">
        <f>G20+I20+K20+M20+O20+Q20+S20+U20+W20+Z20</f>
        <v>5458</v>
      </c>
      <c r="F20" s="69">
        <v>12.38</v>
      </c>
      <c r="G20" s="70">
        <f>IF(F20&lt;&gt;0,INT(25.4347*(18-F20)^1.81),0)</f>
        <v>578</v>
      </c>
      <c r="H20" s="69">
        <v>6.16</v>
      </c>
      <c r="I20" s="70">
        <f>IF(H20&lt;&gt;0,INT(0.14354*((H20*100)-220)^1.4),0)</f>
        <v>621</v>
      </c>
      <c r="J20" s="69">
        <v>12.67</v>
      </c>
      <c r="K20" s="70">
        <f>IF(J20&lt;&gt;0,INT(51.39*(J20-1.5)^1.05),0)</f>
        <v>647</v>
      </c>
      <c r="L20" s="69">
        <v>1.72</v>
      </c>
      <c r="M20" s="70">
        <f>IF(L20&lt;&gt;0,INT(0.8465*((L20*100)-75)^1.42),0)</f>
        <v>560</v>
      </c>
      <c r="N20" s="69">
        <v>57.53</v>
      </c>
      <c r="O20" s="70">
        <f>IF(N20&lt;&gt;0,INT(1.53775*(82-N20)^1.81),0)</f>
        <v>501</v>
      </c>
      <c r="P20" s="69">
        <v>15.87</v>
      </c>
      <c r="Q20" s="70">
        <f>IF(P20&lt;&gt;0,INT(5.74352*(28.5-P20)^1.92),0)</f>
        <v>747</v>
      </c>
      <c r="R20" s="69">
        <v>35.61</v>
      </c>
      <c r="S20" s="70">
        <f>IF(R20&lt;&gt;0,INT(12.91*(R20-4)^1.1),0)</f>
        <v>576</v>
      </c>
      <c r="T20" s="69">
        <v>3.6</v>
      </c>
      <c r="U20" s="234">
        <f>IF(T20&lt;&gt;0,INT(0.2797*((T20*100)-100)^1.35),0)</f>
        <v>509</v>
      </c>
      <c r="V20" s="69">
        <v>33.08</v>
      </c>
      <c r="W20" s="76">
        <f>IF(V20&lt;&gt;0,INT(10.14*(V20-7)^1.08),0)</f>
        <v>343</v>
      </c>
      <c r="X20" s="71">
        <v>5</v>
      </c>
      <c r="Y20" s="72">
        <v>34.71</v>
      </c>
      <c r="Z20" s="236">
        <f>IF(X20+Y20&lt;&gt;0,INT(0.03768*(480-((X20*60)+Y20))^1.85),0)</f>
        <v>376</v>
      </c>
      <c r="AA20" s="160">
        <f>G20+I20+K20+M20+O20</f>
        <v>2907</v>
      </c>
      <c r="AB20" s="160">
        <f>Q20+S20+U20+W20+Z20</f>
        <v>2551</v>
      </c>
      <c r="AC20" s="95" t="s">
        <v>81</v>
      </c>
      <c r="AD20" s="96">
        <v>95</v>
      </c>
      <c r="AE20" s="50" t="s">
        <v>82</v>
      </c>
      <c r="AF20" s="112" t="s">
        <v>207</v>
      </c>
      <c r="AG20" s="228" t="s">
        <v>207</v>
      </c>
      <c r="AH20" s="239" t="s">
        <v>217</v>
      </c>
      <c r="AI20" s="39"/>
    </row>
    <row r="21" spans="1:35" ht="12">
      <c r="A21" s="158" t="s">
        <v>20</v>
      </c>
      <c r="B21" s="95" t="s">
        <v>75</v>
      </c>
      <c r="C21" s="96">
        <v>95</v>
      </c>
      <c r="D21" s="50" t="s">
        <v>76</v>
      </c>
      <c r="E21" s="73">
        <f>G21+I21+K21+M21+O21+Q21+S21+U21+W21+Z21</f>
        <v>4811</v>
      </c>
      <c r="F21" s="69">
        <v>12.43</v>
      </c>
      <c r="G21" s="70">
        <f>IF(F21&lt;&gt;0,INT(25.4347*(18-F21)^1.81),0)</f>
        <v>569</v>
      </c>
      <c r="H21" s="69">
        <v>5.48</v>
      </c>
      <c r="I21" s="70">
        <f>IF(H21&lt;&gt;0,INT(0.14354*((H21*100)-220)^1.4),0)</f>
        <v>477</v>
      </c>
      <c r="J21" s="69">
        <v>10.46</v>
      </c>
      <c r="K21" s="70">
        <f>IF(J21&lt;&gt;0,INT(51.39*(J21-1.5)^1.05),0)</f>
        <v>513</v>
      </c>
      <c r="L21" s="69">
        <v>1.6</v>
      </c>
      <c r="M21" s="70">
        <f>IF(L21&lt;&gt;0,INT(0.8465*((L21*100)-75)^1.42),0)</f>
        <v>464</v>
      </c>
      <c r="N21" s="69">
        <v>56.48</v>
      </c>
      <c r="O21" s="70">
        <f>IF(N21&lt;&gt;0,INT(1.53775*(82-N21)^1.81),0)</f>
        <v>541</v>
      </c>
      <c r="P21" s="69">
        <v>17.02</v>
      </c>
      <c r="Q21" s="70">
        <f>IF(P21&lt;&gt;0,INT(5.74352*(28.5-P21)^1.92),0)</f>
        <v>622</v>
      </c>
      <c r="R21" s="69">
        <v>26.3</v>
      </c>
      <c r="S21" s="70">
        <f>IF(R21&lt;&gt;0,INT(12.91*(R21-4)^1.1),0)</f>
        <v>392</v>
      </c>
      <c r="T21" s="69">
        <v>3.1</v>
      </c>
      <c r="U21" s="70">
        <f>IF(T21&lt;&gt;0,INT(0.2797*((T21*100)-100)^1.35),0)</f>
        <v>381</v>
      </c>
      <c r="V21" s="69">
        <v>32.59</v>
      </c>
      <c r="W21" s="71">
        <f>IF(V21&lt;&gt;0,INT(10.14*(V21-7)^1.08),0)</f>
        <v>336</v>
      </c>
      <c r="X21" s="71">
        <v>5</v>
      </c>
      <c r="Y21" s="72">
        <v>7.77</v>
      </c>
      <c r="Z21" s="70">
        <f>IF(X21+Y21&lt;&gt;0,INT(0.03768*(480-((X21*60)+Y21))^1.85),0)</f>
        <v>516</v>
      </c>
      <c r="AA21" s="73">
        <f>G21+I21+K21+M21+O21</f>
        <v>2564</v>
      </c>
      <c r="AB21" s="73">
        <f>Q21+S21+U21+W21+Z21</f>
        <v>2247</v>
      </c>
      <c r="AC21" s="95" t="s">
        <v>75</v>
      </c>
      <c r="AD21" s="96">
        <v>95</v>
      </c>
      <c r="AE21" s="50" t="s">
        <v>76</v>
      </c>
      <c r="AF21" s="112" t="s">
        <v>207</v>
      </c>
      <c r="AG21" s="228" t="s">
        <v>207</v>
      </c>
      <c r="AH21" s="239" t="s">
        <v>217</v>
      </c>
      <c r="AI21" s="39"/>
    </row>
    <row r="22" spans="1:35" ht="12">
      <c r="A22" s="158" t="s">
        <v>21</v>
      </c>
      <c r="B22" s="95" t="s">
        <v>77</v>
      </c>
      <c r="C22" s="96">
        <v>96</v>
      </c>
      <c r="D22" s="50" t="s">
        <v>78</v>
      </c>
      <c r="E22" s="73">
        <f>G22+I22+K22+M22+O22+Q22+S22+U22+W22+Z22</f>
        <v>4771</v>
      </c>
      <c r="F22" s="69">
        <v>12.49</v>
      </c>
      <c r="G22" s="70">
        <f>IF(F22&lt;&gt;0,INT(25.4347*(18-F22)^1.81),0)</f>
        <v>558</v>
      </c>
      <c r="H22" s="69">
        <v>5.53</v>
      </c>
      <c r="I22" s="70">
        <f>IF(H22&lt;&gt;0,INT(0.14354*((H22*100)-220)^1.4),0)</f>
        <v>487</v>
      </c>
      <c r="J22" s="69">
        <v>11.48</v>
      </c>
      <c r="K22" s="70">
        <f>IF(J22&lt;&gt;0,INT(51.39*(J22-1.5)^1.05),0)</f>
        <v>575</v>
      </c>
      <c r="L22" s="69">
        <v>1.54</v>
      </c>
      <c r="M22" s="70">
        <f>IF(L22&lt;&gt;0,INT(0.8465*((L22*100)-75)^1.42),0)</f>
        <v>419</v>
      </c>
      <c r="N22" s="69">
        <v>58.38</v>
      </c>
      <c r="O22" s="70">
        <f>IF(N22&lt;&gt;0,INT(1.53775*(82-N22)^1.81),0)</f>
        <v>470</v>
      </c>
      <c r="P22" s="69">
        <v>19.11</v>
      </c>
      <c r="Q22" s="70">
        <f>IF(P22&lt;&gt;0,INT(5.74352*(28.5-P22)^1.92),0)</f>
        <v>423</v>
      </c>
      <c r="R22" s="69">
        <v>33.83</v>
      </c>
      <c r="S22" s="70">
        <f>IF(R22&lt;&gt;0,INT(12.91*(R22-4)^1.1),0)</f>
        <v>540</v>
      </c>
      <c r="T22" s="69">
        <v>3.8</v>
      </c>
      <c r="U22" s="70">
        <f>IF(T22&lt;&gt;0,INT(0.2797*((T22*100)-100)^1.35),0)</f>
        <v>562</v>
      </c>
      <c r="V22" s="69">
        <v>33.12</v>
      </c>
      <c r="W22" s="71">
        <f>IF(V22&lt;&gt;0,INT(10.14*(V22-7)^1.08),0)</f>
        <v>343</v>
      </c>
      <c r="X22" s="71">
        <v>5</v>
      </c>
      <c r="Y22" s="72">
        <v>31.12</v>
      </c>
      <c r="Z22" s="70">
        <f>IF(X22+Y22&lt;&gt;0,INT(0.03768*(480-((X22*60)+Y22))^1.85),0)</f>
        <v>394</v>
      </c>
      <c r="AA22" s="73">
        <f>G22+I22+K22+M22+O22</f>
        <v>2509</v>
      </c>
      <c r="AB22" s="73">
        <f>Q22+S22+U22+W22+Z22</f>
        <v>2262</v>
      </c>
      <c r="AC22" s="95" t="s">
        <v>77</v>
      </c>
      <c r="AD22" s="96">
        <v>96</v>
      </c>
      <c r="AE22" s="50" t="s">
        <v>78</v>
      </c>
      <c r="AF22" s="112" t="s">
        <v>207</v>
      </c>
      <c r="AG22" s="228" t="s">
        <v>206</v>
      </c>
      <c r="AH22" s="239" t="s">
        <v>217</v>
      </c>
      <c r="AI22" s="39"/>
    </row>
    <row r="23" spans="1:35" ht="12">
      <c r="A23" s="158"/>
      <c r="B23" s="95" t="s">
        <v>83</v>
      </c>
      <c r="C23" s="96">
        <v>96</v>
      </c>
      <c r="D23" s="50" t="s">
        <v>80</v>
      </c>
      <c r="E23" s="73">
        <f>G23+I23+K23+M23+O23+Q23+S23+U23+W23+Z23</f>
        <v>2229</v>
      </c>
      <c r="F23" s="69">
        <v>13.52</v>
      </c>
      <c r="G23" s="70">
        <f>IF(F23&lt;&gt;0,INT(25.4347*(18-F23)^1.81),0)</f>
        <v>383</v>
      </c>
      <c r="H23" s="69">
        <v>4.97</v>
      </c>
      <c r="I23" s="70">
        <f>IF(H23&lt;&gt;0,INT(0.14354*((H23*100)-220)^1.4),0)</f>
        <v>377</v>
      </c>
      <c r="J23" s="69">
        <v>9.32</v>
      </c>
      <c r="K23" s="70">
        <f>IF(J23&lt;&gt;0,INT(51.39*(J23-1.5)^1.05),0)</f>
        <v>445</v>
      </c>
      <c r="L23" s="69">
        <v>0</v>
      </c>
      <c r="M23" s="70">
        <f>IF(L23&lt;&gt;0,INT(0.8465*((L23*100)-75)^1.42),0)</f>
        <v>0</v>
      </c>
      <c r="N23" s="69" t="s">
        <v>216</v>
      </c>
      <c r="O23" s="70">
        <v>0</v>
      </c>
      <c r="P23" s="69">
        <v>20.53</v>
      </c>
      <c r="Q23" s="70">
        <f>IF(P23&lt;&gt;0,INT(5.74352*(28.5-P23)^1.92),0)</f>
        <v>309</v>
      </c>
      <c r="R23" s="69">
        <v>16.71</v>
      </c>
      <c r="S23" s="70">
        <f>IF(R23&lt;&gt;0,INT(12.91*(R23-4)^1.1),0)</f>
        <v>211</v>
      </c>
      <c r="T23" s="69">
        <v>2.3</v>
      </c>
      <c r="U23" s="70">
        <f>IF(T23&lt;&gt;0,INT(0.2797*((T23*100)-100)^1.35),0)</f>
        <v>199</v>
      </c>
      <c r="V23" s="69">
        <v>30.42</v>
      </c>
      <c r="W23" s="71">
        <f>IF(V23&lt;&gt;0,INT(10.14*(V23-7)^1.08),0)</f>
        <v>305</v>
      </c>
      <c r="X23" s="71"/>
      <c r="Y23" s="72" t="s">
        <v>216</v>
      </c>
      <c r="Z23" s="70">
        <v>0</v>
      </c>
      <c r="AA23" s="73">
        <f>G23+I23+K23+M23+O23</f>
        <v>1205</v>
      </c>
      <c r="AB23" s="73">
        <f>Q23+S23+U23+W23+Z23</f>
        <v>1024</v>
      </c>
      <c r="AC23" s="95" t="s">
        <v>83</v>
      </c>
      <c r="AD23" s="96">
        <v>96</v>
      </c>
      <c r="AE23" s="50" t="s">
        <v>80</v>
      </c>
      <c r="AF23" s="112" t="s">
        <v>207</v>
      </c>
      <c r="AG23" s="228" t="s">
        <v>207</v>
      </c>
      <c r="AH23" s="239" t="s">
        <v>217</v>
      </c>
      <c r="AI23" s="39"/>
    </row>
    <row r="24" spans="1:35" ht="12">
      <c r="A24" s="145"/>
      <c r="B24" s="146"/>
      <c r="C24" s="216"/>
      <c r="D24" s="216"/>
      <c r="E24" s="150"/>
      <c r="F24" s="147"/>
      <c r="G24" s="149"/>
      <c r="H24" s="148"/>
      <c r="I24" s="149"/>
      <c r="J24" s="148"/>
      <c r="K24" s="149"/>
      <c r="L24" s="148"/>
      <c r="M24" s="149"/>
      <c r="N24" s="148"/>
      <c r="O24" s="149"/>
      <c r="P24" s="148"/>
      <c r="Q24" s="149"/>
      <c r="R24" s="148"/>
      <c r="S24" s="149"/>
      <c r="T24" s="148"/>
      <c r="U24" s="149"/>
      <c r="V24" s="148"/>
      <c r="W24" s="149"/>
      <c r="X24" s="149"/>
      <c r="Y24" s="219"/>
      <c r="Z24" s="149"/>
      <c r="AA24" s="150"/>
      <c r="AB24" s="150"/>
      <c r="AC24" s="146"/>
      <c r="AD24" s="216"/>
      <c r="AE24" s="216"/>
      <c r="AF24" s="217"/>
      <c r="AG24" s="217"/>
      <c r="AH24" s="217"/>
      <c r="AI24" s="39"/>
    </row>
    <row r="25" spans="1:35" ht="12.75">
      <c r="A25" s="131" t="s">
        <v>52</v>
      </c>
      <c r="B25" s="39"/>
      <c r="C25" s="41"/>
      <c r="E25" s="42"/>
      <c r="G25" s="41"/>
      <c r="I25" s="41"/>
      <c r="K25" s="41"/>
      <c r="M25" s="41"/>
      <c r="O25" s="41"/>
      <c r="Q25" s="41"/>
      <c r="S25" s="41"/>
      <c r="U25" s="41"/>
      <c r="W25" s="41"/>
      <c r="X25" s="41"/>
      <c r="Z25" s="41"/>
      <c r="AA25" s="42"/>
      <c r="AB25" s="42"/>
      <c r="AC25" s="39"/>
      <c r="AD25" s="39"/>
      <c r="AE25" s="39"/>
      <c r="AF25" s="39"/>
      <c r="AG25" s="39"/>
      <c r="AH25" s="39"/>
      <c r="AI25" s="39"/>
    </row>
    <row r="26" spans="1:35" ht="12">
      <c r="A26" s="49" t="s">
        <v>58</v>
      </c>
      <c r="B26" s="94" t="s">
        <v>210</v>
      </c>
      <c r="C26" s="50">
        <v>93</v>
      </c>
      <c r="D26" s="50" t="s">
        <v>98</v>
      </c>
      <c r="E26" s="73"/>
      <c r="F26" s="69"/>
      <c r="G26" s="70"/>
      <c r="H26" s="69">
        <v>5.18</v>
      </c>
      <c r="I26" s="70"/>
      <c r="J26" s="69"/>
      <c r="K26" s="70"/>
      <c r="L26" s="72"/>
      <c r="M26" s="70"/>
      <c r="N26" s="72"/>
      <c r="O26" s="70"/>
      <c r="P26" s="72"/>
      <c r="Q26" s="70"/>
      <c r="R26" s="72"/>
      <c r="S26" s="70"/>
      <c r="T26" s="72"/>
      <c r="U26" s="70"/>
      <c r="V26" s="72"/>
      <c r="W26" s="70"/>
      <c r="X26" s="75"/>
      <c r="Y26" s="72"/>
      <c r="Z26" s="70"/>
      <c r="AA26" s="73"/>
      <c r="AB26" s="73"/>
      <c r="AC26" s="94"/>
      <c r="AD26" s="50"/>
      <c r="AE26" s="50"/>
      <c r="AF26" s="134"/>
      <c r="AG26" s="134" t="s">
        <v>207</v>
      </c>
      <c r="AH26" s="134"/>
      <c r="AI26" s="39"/>
    </row>
    <row r="27" spans="1:35" ht="12">
      <c r="A27" s="49" t="s">
        <v>58</v>
      </c>
      <c r="B27" s="94" t="s">
        <v>211</v>
      </c>
      <c r="C27" s="50">
        <v>90</v>
      </c>
      <c r="D27" s="50" t="s">
        <v>98</v>
      </c>
      <c r="E27" s="73"/>
      <c r="F27" s="69"/>
      <c r="G27" s="70"/>
      <c r="H27" s="69">
        <v>6.45</v>
      </c>
      <c r="I27" s="70"/>
      <c r="J27" s="69"/>
      <c r="K27" s="70"/>
      <c r="L27" s="72">
        <v>1.72</v>
      </c>
      <c r="M27" s="70"/>
      <c r="N27" s="72"/>
      <c r="O27" s="70"/>
      <c r="P27" s="72"/>
      <c r="Q27" s="70"/>
      <c r="R27" s="72"/>
      <c r="S27" s="70"/>
      <c r="T27" s="72"/>
      <c r="U27" s="70"/>
      <c r="V27" s="72">
        <v>46.52</v>
      </c>
      <c r="W27" s="70"/>
      <c r="X27" s="75"/>
      <c r="Y27" s="72"/>
      <c r="Z27" s="70"/>
      <c r="AA27" s="73"/>
      <c r="AB27" s="73"/>
      <c r="AC27" s="94"/>
      <c r="AD27" s="50"/>
      <c r="AE27" s="50"/>
      <c r="AF27" s="134"/>
      <c r="AG27" s="134" t="s">
        <v>215</v>
      </c>
      <c r="AH27" s="134"/>
      <c r="AI27" s="39"/>
    </row>
    <row r="28" spans="1:35" ht="12">
      <c r="A28" s="49" t="s">
        <v>58</v>
      </c>
      <c r="B28" s="94" t="s">
        <v>235</v>
      </c>
      <c r="C28" s="50">
        <v>95</v>
      </c>
      <c r="D28" s="50" t="s">
        <v>54</v>
      </c>
      <c r="E28" s="73"/>
      <c r="F28" s="69"/>
      <c r="G28" s="70"/>
      <c r="H28" s="69"/>
      <c r="I28" s="70"/>
      <c r="J28" s="69"/>
      <c r="K28" s="70"/>
      <c r="L28" s="72">
        <v>1.81</v>
      </c>
      <c r="M28" s="70"/>
      <c r="N28" s="72"/>
      <c r="O28" s="70"/>
      <c r="P28" s="72">
        <v>16.99</v>
      </c>
      <c r="Q28" s="70"/>
      <c r="R28" s="72"/>
      <c r="S28" s="70"/>
      <c r="T28" s="72"/>
      <c r="U28" s="70"/>
      <c r="V28" s="72"/>
      <c r="W28" s="70"/>
      <c r="X28" s="75"/>
      <c r="Y28" s="72"/>
      <c r="Z28" s="70"/>
      <c r="AA28" s="73"/>
      <c r="AB28" s="73"/>
      <c r="AC28" s="94"/>
      <c r="AD28" s="50"/>
      <c r="AE28" s="50"/>
      <c r="AF28" s="134"/>
      <c r="AG28" s="134"/>
      <c r="AH28" s="134"/>
      <c r="AI28" s="39"/>
    </row>
    <row r="29" spans="1:35" ht="12">
      <c r="A29" s="49" t="s">
        <v>58</v>
      </c>
      <c r="B29" s="227" t="s">
        <v>238</v>
      </c>
      <c r="C29" s="241">
        <v>95</v>
      </c>
      <c r="D29" s="241" t="s">
        <v>98</v>
      </c>
      <c r="E29" s="73"/>
      <c r="F29" s="69"/>
      <c r="G29" s="70"/>
      <c r="H29" s="69"/>
      <c r="I29" s="70"/>
      <c r="J29" s="69"/>
      <c r="K29" s="70"/>
      <c r="L29" s="72"/>
      <c r="M29" s="70"/>
      <c r="N29" s="72"/>
      <c r="O29" s="70"/>
      <c r="P29" s="72"/>
      <c r="Q29" s="70"/>
      <c r="R29" s="72"/>
      <c r="S29" s="70"/>
      <c r="T29" s="72"/>
      <c r="U29" s="70"/>
      <c r="V29" s="72"/>
      <c r="W29" s="70"/>
      <c r="X29" s="75"/>
      <c r="Y29" s="72"/>
      <c r="Z29" s="70"/>
      <c r="AA29" s="73"/>
      <c r="AB29" s="73"/>
      <c r="AC29" s="94"/>
      <c r="AD29" s="50"/>
      <c r="AE29" s="50"/>
      <c r="AF29" s="134"/>
      <c r="AG29" s="134"/>
      <c r="AH29" s="134"/>
      <c r="AI29" s="39"/>
    </row>
    <row r="30" spans="1:35" ht="12">
      <c r="A30" s="49" t="s">
        <v>58</v>
      </c>
      <c r="B30" s="227" t="s">
        <v>239</v>
      </c>
      <c r="C30" s="241">
        <v>93</v>
      </c>
      <c r="D30" s="241" t="s">
        <v>53</v>
      </c>
      <c r="E30" s="73"/>
      <c r="F30" s="69"/>
      <c r="G30" s="70"/>
      <c r="H30" s="69"/>
      <c r="I30" s="70"/>
      <c r="J30" s="69"/>
      <c r="K30" s="70"/>
      <c r="L30" s="72"/>
      <c r="M30" s="70"/>
      <c r="N30" s="72"/>
      <c r="O30" s="70"/>
      <c r="P30" s="72">
        <v>15.37</v>
      </c>
      <c r="Q30" s="70"/>
      <c r="R30" s="72">
        <v>0</v>
      </c>
      <c r="S30" s="70"/>
      <c r="T30" s="72"/>
      <c r="U30" s="70"/>
      <c r="V30" s="72"/>
      <c r="W30" s="70"/>
      <c r="X30" s="75"/>
      <c r="Y30" s="72"/>
      <c r="Z30" s="70"/>
      <c r="AA30" s="73"/>
      <c r="AB30" s="73"/>
      <c r="AC30" s="94"/>
      <c r="AD30" s="50"/>
      <c r="AE30" s="50"/>
      <c r="AF30" s="134"/>
      <c r="AG30" s="134"/>
      <c r="AH30" s="134"/>
      <c r="AI30" s="39"/>
    </row>
    <row r="31" spans="1:35" ht="12">
      <c r="A31" s="49" t="s">
        <v>58</v>
      </c>
      <c r="B31" s="95" t="s">
        <v>236</v>
      </c>
      <c r="C31" s="50">
        <v>95</v>
      </c>
      <c r="D31" s="50" t="s">
        <v>54</v>
      </c>
      <c r="E31" s="73"/>
      <c r="F31" s="69"/>
      <c r="G31" s="70"/>
      <c r="H31" s="69"/>
      <c r="I31" s="70"/>
      <c r="J31" s="69"/>
      <c r="K31" s="70"/>
      <c r="L31" s="72"/>
      <c r="M31" s="70"/>
      <c r="N31" s="72"/>
      <c r="O31" s="70"/>
      <c r="P31" s="72">
        <v>16.97</v>
      </c>
      <c r="Q31" s="70"/>
      <c r="R31" s="72"/>
      <c r="S31" s="70"/>
      <c r="T31" s="72"/>
      <c r="U31" s="70"/>
      <c r="V31" s="72"/>
      <c r="W31" s="70"/>
      <c r="X31" s="75"/>
      <c r="Y31" s="72"/>
      <c r="Z31" s="70"/>
      <c r="AA31" s="73"/>
      <c r="AB31" s="73"/>
      <c r="AC31" s="94"/>
      <c r="AD31" s="50"/>
      <c r="AE31" s="50"/>
      <c r="AF31" s="134"/>
      <c r="AG31" s="134"/>
      <c r="AH31" s="134"/>
      <c r="AI31" s="39"/>
    </row>
    <row r="32" spans="1:35" ht="12">
      <c r="A32" s="49" t="s">
        <v>58</v>
      </c>
      <c r="B32" s="227" t="s">
        <v>237</v>
      </c>
      <c r="C32" s="241">
        <v>95</v>
      </c>
      <c r="D32" s="241" t="s">
        <v>98</v>
      </c>
      <c r="E32" s="73"/>
      <c r="F32" s="69"/>
      <c r="G32" s="70"/>
      <c r="H32" s="69"/>
      <c r="I32" s="70"/>
      <c r="J32" s="69"/>
      <c r="K32" s="70"/>
      <c r="L32" s="69"/>
      <c r="M32" s="70"/>
      <c r="N32" s="69"/>
      <c r="O32" s="70"/>
      <c r="P32" s="69">
        <v>15.61</v>
      </c>
      <c r="Q32" s="70"/>
      <c r="R32" s="69"/>
      <c r="S32" s="70"/>
      <c r="T32" s="69"/>
      <c r="U32" s="70"/>
      <c r="V32" s="69"/>
      <c r="W32" s="70"/>
      <c r="X32" s="70"/>
      <c r="Y32" s="69"/>
      <c r="Z32" s="70"/>
      <c r="AA32" s="73"/>
      <c r="AB32" s="73"/>
      <c r="AC32" s="94"/>
      <c r="AD32" s="50"/>
      <c r="AE32" s="50"/>
      <c r="AF32" s="134"/>
      <c r="AG32" s="134"/>
      <c r="AH32" s="134"/>
      <c r="AI32" s="39"/>
    </row>
    <row r="33" spans="1:35" ht="12">
      <c r="A33" s="49" t="s">
        <v>58</v>
      </c>
      <c r="B33" s="94" t="s">
        <v>257</v>
      </c>
      <c r="C33" s="50">
        <v>80</v>
      </c>
      <c r="D33" s="50" t="s">
        <v>141</v>
      </c>
      <c r="E33" s="73"/>
      <c r="F33" s="69"/>
      <c r="G33" s="70"/>
      <c r="H33" s="69"/>
      <c r="I33" s="70"/>
      <c r="J33" s="69"/>
      <c r="K33" s="70"/>
      <c r="L33" s="69"/>
      <c r="M33" s="70"/>
      <c r="N33" s="69"/>
      <c r="O33" s="70"/>
      <c r="P33" s="69"/>
      <c r="Q33" s="70"/>
      <c r="R33" s="69"/>
      <c r="S33" s="70"/>
      <c r="T33" s="69"/>
      <c r="U33" s="70"/>
      <c r="V33" s="69">
        <v>55.84</v>
      </c>
      <c r="W33" s="70"/>
      <c r="X33" s="70"/>
      <c r="Y33" s="69"/>
      <c r="Z33" s="70"/>
      <c r="AA33" s="73"/>
      <c r="AB33" s="73"/>
      <c r="AC33" s="94"/>
      <c r="AD33" s="50"/>
      <c r="AE33" s="50"/>
      <c r="AF33" s="134"/>
      <c r="AG33" s="134"/>
      <c r="AH33" s="134"/>
      <c r="AI33" s="39"/>
    </row>
    <row r="34" spans="1:35" ht="12">
      <c r="A34" s="49" t="s">
        <v>58</v>
      </c>
      <c r="B34" s="94" t="s">
        <v>258</v>
      </c>
      <c r="C34" s="50">
        <v>96</v>
      </c>
      <c r="D34" s="50" t="s">
        <v>259</v>
      </c>
      <c r="E34" s="73"/>
      <c r="F34" s="69"/>
      <c r="G34" s="70"/>
      <c r="H34" s="69"/>
      <c r="I34" s="70"/>
      <c r="J34" s="69"/>
      <c r="K34" s="70"/>
      <c r="L34" s="69"/>
      <c r="M34" s="70"/>
      <c r="N34" s="69"/>
      <c r="O34" s="70"/>
      <c r="P34" s="69"/>
      <c r="Q34" s="70"/>
      <c r="R34" s="69"/>
      <c r="S34" s="70"/>
      <c r="T34" s="69"/>
      <c r="U34" s="70"/>
      <c r="V34" s="69">
        <v>38.61</v>
      </c>
      <c r="W34" s="70"/>
      <c r="X34" s="70"/>
      <c r="Y34" s="69"/>
      <c r="Z34" s="70"/>
      <c r="AA34" s="73"/>
      <c r="AB34" s="73"/>
      <c r="AC34" s="94"/>
      <c r="AD34" s="50"/>
      <c r="AE34" s="50"/>
      <c r="AF34" s="134"/>
      <c r="AG34" s="134"/>
      <c r="AH34" s="134"/>
      <c r="AI34" s="39"/>
    </row>
    <row r="35" spans="1:35" ht="12">
      <c r="A35" s="145"/>
      <c r="B35" s="146"/>
      <c r="C35" s="216"/>
      <c r="D35" s="216"/>
      <c r="E35" s="150"/>
      <c r="F35" s="148"/>
      <c r="G35" s="149"/>
      <c r="H35" s="148"/>
      <c r="I35" s="149"/>
      <c r="J35" s="148"/>
      <c r="K35" s="149"/>
      <c r="L35" s="148"/>
      <c r="M35" s="149"/>
      <c r="N35" s="148"/>
      <c r="O35" s="149"/>
      <c r="P35" s="148"/>
      <c r="Q35" s="149"/>
      <c r="R35" s="148"/>
      <c r="S35" s="149"/>
      <c r="T35" s="148"/>
      <c r="U35" s="149"/>
      <c r="V35" s="148"/>
      <c r="W35" s="149"/>
      <c r="X35" s="149"/>
      <c r="Y35" s="148"/>
      <c r="Z35" s="149"/>
      <c r="AA35" s="150"/>
      <c r="AB35" s="150"/>
      <c r="AC35" s="146"/>
      <c r="AD35" s="216"/>
      <c r="AE35" s="216"/>
      <c r="AF35" s="217"/>
      <c r="AG35" s="217"/>
      <c r="AH35" s="217"/>
      <c r="AI35" s="39"/>
    </row>
    <row r="36" spans="2:35" ht="11.25">
      <c r="B36" s="39"/>
      <c r="C36" s="41"/>
      <c r="E36" s="42"/>
      <c r="G36" s="41"/>
      <c r="I36" s="41"/>
      <c r="K36" s="41"/>
      <c r="M36" s="41"/>
      <c r="O36" s="41"/>
      <c r="Q36" s="41"/>
      <c r="S36" s="41"/>
      <c r="U36" s="41"/>
      <c r="W36" s="41"/>
      <c r="X36" s="41"/>
      <c r="Z36" s="41"/>
      <c r="AA36" s="42"/>
      <c r="AB36" s="42"/>
      <c r="AC36" s="39"/>
      <c r="AD36" s="39"/>
      <c r="AE36" s="39"/>
      <c r="AF36" s="39"/>
      <c r="AG36" s="39"/>
      <c r="AH36" s="39"/>
      <c r="AI36" s="39"/>
    </row>
    <row r="37" spans="5:35" ht="11.25">
      <c r="E37" s="42"/>
      <c r="G37" s="41"/>
      <c r="I37" s="41"/>
      <c r="K37" s="41"/>
      <c r="M37" s="41"/>
      <c r="O37" s="41"/>
      <c r="Q37" s="41"/>
      <c r="S37" s="41"/>
      <c r="U37" s="41"/>
      <c r="W37" s="41"/>
      <c r="X37" s="41"/>
      <c r="Z37" s="41"/>
      <c r="AA37" s="42"/>
      <c r="AB37" s="42"/>
      <c r="AC37" s="39"/>
      <c r="AD37" s="39"/>
      <c r="AE37" s="39"/>
      <c r="AF37" s="39"/>
      <c r="AG37" s="39"/>
      <c r="AH37" s="39"/>
      <c r="AI37" s="39"/>
    </row>
    <row r="38" spans="5:35" ht="11.25">
      <c r="E38" s="42"/>
      <c r="G38" s="41"/>
      <c r="I38" s="41"/>
      <c r="K38" s="41"/>
      <c r="M38" s="41"/>
      <c r="O38" s="41"/>
      <c r="Q38" s="41"/>
      <c r="S38" s="41"/>
      <c r="U38" s="41"/>
      <c r="W38" s="41"/>
      <c r="X38" s="41"/>
      <c r="Z38" s="41"/>
      <c r="AA38" s="42"/>
      <c r="AB38" s="42"/>
      <c r="AC38" s="39"/>
      <c r="AD38" s="39"/>
      <c r="AE38" s="39"/>
      <c r="AF38" s="39"/>
      <c r="AG38" s="39"/>
      <c r="AH38" s="39"/>
      <c r="AI38" s="39"/>
    </row>
    <row r="39" spans="5:35" ht="11.25">
      <c r="E39" s="42"/>
      <c r="G39" s="41"/>
      <c r="I39" s="41"/>
      <c r="K39" s="41"/>
      <c r="M39" s="41"/>
      <c r="O39" s="41"/>
      <c r="Q39" s="41"/>
      <c r="S39" s="41"/>
      <c r="U39" s="41"/>
      <c r="W39" s="41"/>
      <c r="X39" s="41"/>
      <c r="Z39" s="41"/>
      <c r="AA39" s="42"/>
      <c r="AB39" s="42"/>
      <c r="AC39" s="39"/>
      <c r="AD39" s="39"/>
      <c r="AE39" s="39"/>
      <c r="AF39" s="39"/>
      <c r="AG39" s="39"/>
      <c r="AH39" s="39"/>
      <c r="AI39" s="39"/>
    </row>
    <row r="40" spans="5:35" ht="11.25">
      <c r="E40" s="42"/>
      <c r="G40" s="41"/>
      <c r="I40" s="41"/>
      <c r="K40" s="41"/>
      <c r="M40" s="41"/>
      <c r="O40" s="41"/>
      <c r="Q40" s="41"/>
      <c r="S40" s="41"/>
      <c r="U40" s="41"/>
      <c r="W40" s="41"/>
      <c r="X40" s="41"/>
      <c r="Z40" s="41"/>
      <c r="AA40" s="42"/>
      <c r="AB40" s="42"/>
      <c r="AC40" s="39"/>
      <c r="AD40" s="39"/>
      <c r="AE40" s="39"/>
      <c r="AF40" s="39"/>
      <c r="AG40" s="39"/>
      <c r="AH40" s="39"/>
      <c r="AI40" s="39"/>
    </row>
    <row r="41" spans="5:35" ht="11.25">
      <c r="E41" s="42"/>
      <c r="G41" s="41"/>
      <c r="I41" s="41"/>
      <c r="K41" s="41"/>
      <c r="M41" s="41"/>
      <c r="O41" s="41"/>
      <c r="Q41" s="41"/>
      <c r="S41" s="41"/>
      <c r="U41" s="41"/>
      <c r="W41" s="41"/>
      <c r="X41" s="41"/>
      <c r="Z41" s="41"/>
      <c r="AA41" s="42"/>
      <c r="AB41" s="42"/>
      <c r="AC41" s="39"/>
      <c r="AD41" s="39"/>
      <c r="AE41" s="39"/>
      <c r="AF41" s="39"/>
      <c r="AG41" s="39"/>
      <c r="AH41" s="39"/>
      <c r="AI41" s="39"/>
    </row>
    <row r="42" spans="5:35" ht="11.25">
      <c r="E42" s="42"/>
      <c r="G42" s="41"/>
      <c r="I42" s="41"/>
      <c r="K42" s="41"/>
      <c r="M42" s="41"/>
      <c r="O42" s="41"/>
      <c r="Q42" s="41"/>
      <c r="S42" s="41"/>
      <c r="U42" s="41"/>
      <c r="W42" s="41"/>
      <c r="X42" s="41"/>
      <c r="Z42" s="41"/>
      <c r="AA42" s="42"/>
      <c r="AB42" s="42"/>
      <c r="AC42" s="39"/>
      <c r="AD42" s="39"/>
      <c r="AE42" s="39"/>
      <c r="AF42" s="39"/>
      <c r="AG42" s="39"/>
      <c r="AH42" s="39"/>
      <c r="AI42" s="39"/>
    </row>
    <row r="43" spans="5:35" ht="11.25">
      <c r="E43" s="42"/>
      <c r="G43" s="41"/>
      <c r="I43" s="41"/>
      <c r="K43" s="41"/>
      <c r="M43" s="41"/>
      <c r="O43" s="41"/>
      <c r="Q43" s="41"/>
      <c r="S43" s="41"/>
      <c r="U43" s="41"/>
      <c r="W43" s="41"/>
      <c r="X43" s="41"/>
      <c r="Z43" s="41"/>
      <c r="AA43" s="42"/>
      <c r="AB43" s="42"/>
      <c r="AC43" s="39"/>
      <c r="AD43" s="39"/>
      <c r="AE43" s="39"/>
      <c r="AF43" s="39"/>
      <c r="AG43" s="39"/>
      <c r="AH43" s="39"/>
      <c r="AI43" s="39"/>
    </row>
    <row r="44" spans="5:35" ht="11.25">
      <c r="E44" s="42"/>
      <c r="G44" s="41"/>
      <c r="I44" s="41"/>
      <c r="K44" s="41"/>
      <c r="M44" s="41"/>
      <c r="O44" s="41"/>
      <c r="Q44" s="41"/>
      <c r="S44" s="41"/>
      <c r="U44" s="41"/>
      <c r="W44" s="41"/>
      <c r="X44" s="41"/>
      <c r="Z44" s="41"/>
      <c r="AA44" s="42"/>
      <c r="AB44" s="42"/>
      <c r="AC44" s="39"/>
      <c r="AD44" s="39"/>
      <c r="AE44" s="39"/>
      <c r="AF44" s="39"/>
      <c r="AG44" s="39"/>
      <c r="AH44" s="39"/>
      <c r="AI44" s="39"/>
    </row>
    <row r="45" spans="5:35" ht="11.25">
      <c r="E45" s="42"/>
      <c r="G45" s="41"/>
      <c r="I45" s="41"/>
      <c r="K45" s="41"/>
      <c r="M45" s="41"/>
      <c r="O45" s="41"/>
      <c r="Q45" s="41"/>
      <c r="S45" s="41"/>
      <c r="U45" s="41"/>
      <c r="W45" s="41"/>
      <c r="X45" s="41"/>
      <c r="Z45" s="41"/>
      <c r="AA45" s="42"/>
      <c r="AB45" s="42"/>
      <c r="AC45" s="39"/>
      <c r="AD45" s="39"/>
      <c r="AE45" s="39"/>
      <c r="AF45" s="39"/>
      <c r="AG45" s="39"/>
      <c r="AH45" s="39"/>
      <c r="AI45" s="39"/>
    </row>
    <row r="46" spans="5:35" ht="11.25">
      <c r="E46" s="42"/>
      <c r="G46" s="41"/>
      <c r="I46" s="41"/>
      <c r="K46" s="41"/>
      <c r="M46" s="41"/>
      <c r="O46" s="41"/>
      <c r="Q46" s="41"/>
      <c r="S46" s="41"/>
      <c r="U46" s="41"/>
      <c r="W46" s="41"/>
      <c r="X46" s="41"/>
      <c r="Z46" s="41"/>
      <c r="AA46" s="42"/>
      <c r="AB46" s="42"/>
      <c r="AC46" s="39"/>
      <c r="AD46" s="39"/>
      <c r="AE46" s="39"/>
      <c r="AF46" s="39"/>
      <c r="AG46" s="39"/>
      <c r="AH46" s="39"/>
      <c r="AI46" s="39"/>
    </row>
    <row r="47" spans="7:35" ht="11.25">
      <c r="G47" s="41"/>
      <c r="I47" s="41"/>
      <c r="K47" s="41"/>
      <c r="M47" s="41"/>
      <c r="O47" s="41"/>
      <c r="Q47" s="41"/>
      <c r="S47" s="41"/>
      <c r="U47" s="41"/>
      <c r="W47" s="41"/>
      <c r="X47" s="41"/>
      <c r="Z47" s="41"/>
      <c r="AC47" s="39"/>
      <c r="AD47" s="39"/>
      <c r="AE47" s="39"/>
      <c r="AF47" s="39"/>
      <c r="AG47" s="39"/>
      <c r="AH47" s="39"/>
      <c r="AI47" s="39"/>
    </row>
    <row r="48" spans="29:35" ht="11.25">
      <c r="AC48" s="39"/>
      <c r="AD48" s="39"/>
      <c r="AE48" s="39"/>
      <c r="AF48" s="39"/>
      <c r="AG48" s="39"/>
      <c r="AH48" s="39"/>
      <c r="AI48" s="39"/>
    </row>
    <row r="49" spans="29:35" ht="11.25">
      <c r="AC49" s="39"/>
      <c r="AD49" s="39"/>
      <c r="AE49" s="39"/>
      <c r="AF49" s="39"/>
      <c r="AG49" s="39"/>
      <c r="AH49" s="39"/>
      <c r="AI49" s="39"/>
    </row>
    <row r="50" spans="29:35" ht="11.25">
      <c r="AC50" s="39"/>
      <c r="AD50" s="39"/>
      <c r="AE50" s="39"/>
      <c r="AF50" s="39"/>
      <c r="AG50" s="39"/>
      <c r="AH50" s="39"/>
      <c r="AI50" s="39"/>
    </row>
    <row r="51" spans="29:35" ht="11.25">
      <c r="AC51" s="39"/>
      <c r="AD51" s="39"/>
      <c r="AE51" s="39"/>
      <c r="AF51" s="39"/>
      <c r="AG51" s="39"/>
      <c r="AH51" s="39"/>
      <c r="AI51" s="39"/>
    </row>
    <row r="52" spans="29:35" ht="11.25">
      <c r="AC52" s="39"/>
      <c r="AD52" s="39"/>
      <c r="AE52" s="39"/>
      <c r="AF52" s="39"/>
      <c r="AG52" s="39"/>
      <c r="AH52" s="39"/>
      <c r="AI52" s="39"/>
    </row>
    <row r="53" spans="29:35" ht="11.25">
      <c r="AC53" s="39"/>
      <c r="AD53" s="39"/>
      <c r="AE53" s="39"/>
      <c r="AF53" s="39"/>
      <c r="AG53" s="39"/>
      <c r="AH53" s="39"/>
      <c r="AI53" s="39"/>
    </row>
    <row r="54" spans="29:35" ht="11.25">
      <c r="AC54" s="39"/>
      <c r="AD54" s="39"/>
      <c r="AE54" s="39"/>
      <c r="AF54" s="39"/>
      <c r="AG54" s="39"/>
      <c r="AH54" s="39"/>
      <c r="AI54" s="39"/>
    </row>
    <row r="55" spans="29:35" ht="11.25">
      <c r="AC55" s="39"/>
      <c r="AD55" s="39"/>
      <c r="AE55" s="39"/>
      <c r="AF55" s="39"/>
      <c r="AG55" s="39"/>
      <c r="AH55" s="39"/>
      <c r="AI55" s="39"/>
    </row>
    <row r="56" spans="29:35" ht="11.25">
      <c r="AC56" s="39"/>
      <c r="AD56" s="39"/>
      <c r="AE56" s="39"/>
      <c r="AF56" s="39"/>
      <c r="AG56" s="39"/>
      <c r="AH56" s="39"/>
      <c r="AI56" s="39"/>
    </row>
    <row r="57" spans="29:35" ht="11.25">
      <c r="AC57" s="39"/>
      <c r="AD57" s="39"/>
      <c r="AE57" s="39"/>
      <c r="AF57" s="39"/>
      <c r="AG57" s="39"/>
      <c r="AH57" s="39"/>
      <c r="AI57" s="39"/>
    </row>
    <row r="58" spans="29:35" ht="11.25">
      <c r="AC58" s="39"/>
      <c r="AD58" s="39"/>
      <c r="AE58" s="39"/>
      <c r="AF58" s="39"/>
      <c r="AG58" s="39"/>
      <c r="AH58" s="39"/>
      <c r="AI58" s="39"/>
    </row>
    <row r="59" spans="29:35" ht="11.25">
      <c r="AC59" s="39"/>
      <c r="AD59" s="39"/>
      <c r="AE59" s="39"/>
      <c r="AF59" s="39"/>
      <c r="AG59" s="39"/>
      <c r="AH59" s="39"/>
      <c r="AI59" s="39"/>
    </row>
    <row r="60" spans="29:35" ht="11.25">
      <c r="AC60" s="39"/>
      <c r="AD60" s="39"/>
      <c r="AE60" s="39"/>
      <c r="AF60" s="39"/>
      <c r="AG60" s="39"/>
      <c r="AH60" s="39"/>
      <c r="AI60" s="39"/>
    </row>
    <row r="61" spans="29:35" ht="11.25">
      <c r="AC61" s="39"/>
      <c r="AD61" s="39"/>
      <c r="AE61" s="39"/>
      <c r="AF61" s="39"/>
      <c r="AG61" s="39"/>
      <c r="AH61" s="39"/>
      <c r="AI61" s="39"/>
    </row>
    <row r="62" spans="29:35" ht="11.25">
      <c r="AC62" s="39"/>
      <c r="AD62" s="39"/>
      <c r="AE62" s="39"/>
      <c r="AF62" s="39"/>
      <c r="AG62" s="39"/>
      <c r="AH62" s="39"/>
      <c r="AI62" s="39"/>
    </row>
    <row r="63" spans="29:35" ht="11.25">
      <c r="AC63" s="39"/>
      <c r="AD63" s="39"/>
      <c r="AE63" s="39"/>
      <c r="AF63" s="39"/>
      <c r="AG63" s="39"/>
      <c r="AH63" s="39"/>
      <c r="AI63" s="39"/>
    </row>
    <row r="64" spans="29:35" ht="11.25">
      <c r="AC64" s="39"/>
      <c r="AD64" s="39"/>
      <c r="AE64" s="39"/>
      <c r="AF64" s="39"/>
      <c r="AG64" s="39"/>
      <c r="AH64" s="39"/>
      <c r="AI64" s="39"/>
    </row>
    <row r="65" spans="29:35" ht="11.25">
      <c r="AC65" s="39"/>
      <c r="AD65" s="39"/>
      <c r="AE65" s="39"/>
      <c r="AF65" s="39"/>
      <c r="AG65" s="39"/>
      <c r="AH65" s="39"/>
      <c r="AI65" s="39"/>
    </row>
    <row r="66" spans="29:35" ht="11.25">
      <c r="AC66" s="39"/>
      <c r="AD66" s="39"/>
      <c r="AE66" s="39"/>
      <c r="AF66" s="39"/>
      <c r="AG66" s="39"/>
      <c r="AH66" s="39"/>
      <c r="AI66" s="39"/>
    </row>
    <row r="67" spans="29:35" ht="11.25">
      <c r="AC67" s="39"/>
      <c r="AD67" s="39"/>
      <c r="AE67" s="39"/>
      <c r="AF67" s="39"/>
      <c r="AG67" s="39"/>
      <c r="AH67" s="39"/>
      <c r="AI67" s="39"/>
    </row>
    <row r="68" spans="29:35" ht="11.25">
      <c r="AC68" s="39"/>
      <c r="AD68" s="39"/>
      <c r="AE68" s="39"/>
      <c r="AF68" s="39"/>
      <c r="AG68" s="39"/>
      <c r="AH68" s="39"/>
      <c r="AI68" s="39"/>
    </row>
    <row r="69" spans="29:35" ht="11.25">
      <c r="AC69" s="39"/>
      <c r="AD69" s="39"/>
      <c r="AE69" s="39"/>
      <c r="AF69" s="39"/>
      <c r="AG69" s="39"/>
      <c r="AH69" s="39"/>
      <c r="AI69" s="39"/>
    </row>
    <row r="70" spans="29:35" ht="11.25">
      <c r="AC70" s="39"/>
      <c r="AD70" s="39"/>
      <c r="AE70" s="39"/>
      <c r="AF70" s="39"/>
      <c r="AG70" s="39"/>
      <c r="AH70" s="39"/>
      <c r="AI70" s="39"/>
    </row>
    <row r="71" spans="29:35" ht="11.25">
      <c r="AC71" s="39"/>
      <c r="AD71" s="39"/>
      <c r="AE71" s="39"/>
      <c r="AF71" s="39"/>
      <c r="AG71" s="39"/>
      <c r="AH71" s="39"/>
      <c r="AI71" s="39"/>
    </row>
    <row r="72" spans="29:35" ht="11.25">
      <c r="AC72" s="39"/>
      <c r="AD72" s="39"/>
      <c r="AE72" s="39"/>
      <c r="AF72" s="39"/>
      <c r="AG72" s="39"/>
      <c r="AH72" s="39"/>
      <c r="AI72" s="39"/>
    </row>
    <row r="73" spans="29:35" ht="11.25">
      <c r="AC73" s="39"/>
      <c r="AD73" s="39"/>
      <c r="AE73" s="39"/>
      <c r="AF73" s="39"/>
      <c r="AG73" s="39"/>
      <c r="AH73" s="39"/>
      <c r="AI73" s="39"/>
    </row>
    <row r="74" spans="29:35" ht="11.25">
      <c r="AC74" s="39"/>
      <c r="AD74" s="39"/>
      <c r="AE74" s="39"/>
      <c r="AF74" s="39"/>
      <c r="AG74" s="39"/>
      <c r="AH74" s="39"/>
      <c r="AI74" s="39"/>
    </row>
    <row r="75" spans="29:35" ht="11.25">
      <c r="AC75" s="39"/>
      <c r="AD75" s="39"/>
      <c r="AE75" s="39"/>
      <c r="AF75" s="39"/>
      <c r="AG75" s="39"/>
      <c r="AH75" s="39"/>
      <c r="AI75" s="39"/>
    </row>
    <row r="76" spans="29:35" ht="11.25">
      <c r="AC76" s="39"/>
      <c r="AD76" s="39"/>
      <c r="AE76" s="39"/>
      <c r="AF76" s="39"/>
      <c r="AG76" s="39"/>
      <c r="AH76" s="39"/>
      <c r="AI76" s="39"/>
    </row>
    <row r="77" spans="29:35" ht="11.25">
      <c r="AC77" s="39"/>
      <c r="AD77" s="39"/>
      <c r="AE77" s="39"/>
      <c r="AF77" s="39"/>
      <c r="AG77" s="39"/>
      <c r="AH77" s="39"/>
      <c r="AI77" s="39"/>
    </row>
    <row r="78" spans="29:35" ht="11.25">
      <c r="AC78" s="39"/>
      <c r="AD78" s="39"/>
      <c r="AE78" s="39"/>
      <c r="AF78" s="39"/>
      <c r="AG78" s="39"/>
      <c r="AH78" s="39"/>
      <c r="AI78" s="39"/>
    </row>
    <row r="79" spans="29:35" ht="11.25">
      <c r="AC79" s="39"/>
      <c r="AD79" s="39"/>
      <c r="AE79" s="39"/>
      <c r="AF79" s="39"/>
      <c r="AG79" s="39"/>
      <c r="AH79" s="39"/>
      <c r="AI79" s="39"/>
    </row>
    <row r="80" spans="29:35" ht="11.25">
      <c r="AC80" s="39"/>
      <c r="AD80" s="39"/>
      <c r="AE80" s="39"/>
      <c r="AF80" s="39"/>
      <c r="AG80" s="39"/>
      <c r="AH80" s="39"/>
      <c r="AI80" s="39"/>
    </row>
    <row r="81" spans="29:35" ht="11.25">
      <c r="AC81" s="39"/>
      <c r="AD81" s="39"/>
      <c r="AE81" s="39"/>
      <c r="AF81" s="39"/>
      <c r="AG81" s="39"/>
      <c r="AH81" s="39"/>
      <c r="AI81" s="39"/>
    </row>
    <row r="82" spans="29:35" ht="11.25">
      <c r="AC82" s="39"/>
      <c r="AD82" s="39"/>
      <c r="AE82" s="39"/>
      <c r="AF82" s="39"/>
      <c r="AG82" s="39"/>
      <c r="AH82" s="39"/>
      <c r="AI82" s="39"/>
    </row>
    <row r="83" spans="29:35" ht="11.25">
      <c r="AC83" s="39"/>
      <c r="AD83" s="39"/>
      <c r="AE83" s="39"/>
      <c r="AF83" s="39"/>
      <c r="AG83" s="39"/>
      <c r="AH83" s="39"/>
      <c r="AI83" s="39"/>
    </row>
    <row r="84" spans="29:35" ht="11.25">
      <c r="AC84" s="39"/>
      <c r="AD84" s="39"/>
      <c r="AE84" s="39"/>
      <c r="AF84" s="39"/>
      <c r="AG84" s="39"/>
      <c r="AH84" s="39"/>
      <c r="AI84" s="39"/>
    </row>
    <row r="85" spans="29:35" ht="11.25">
      <c r="AC85" s="39"/>
      <c r="AD85" s="39"/>
      <c r="AE85" s="39"/>
      <c r="AF85" s="39"/>
      <c r="AG85" s="39"/>
      <c r="AH85" s="39"/>
      <c r="AI85" s="39"/>
    </row>
    <row r="86" spans="29:35" ht="11.25">
      <c r="AC86" s="39"/>
      <c r="AD86" s="39"/>
      <c r="AE86" s="39"/>
      <c r="AF86" s="39"/>
      <c r="AG86" s="39"/>
      <c r="AH86" s="39"/>
      <c r="AI86" s="39"/>
    </row>
    <row r="87" spans="29:35" ht="11.25">
      <c r="AC87" s="39"/>
      <c r="AD87" s="39"/>
      <c r="AE87" s="39"/>
      <c r="AF87" s="39"/>
      <c r="AG87" s="39"/>
      <c r="AH87" s="39"/>
      <c r="AI87" s="39"/>
    </row>
    <row r="88" spans="29:35" ht="11.25">
      <c r="AC88" s="39"/>
      <c r="AD88" s="39"/>
      <c r="AE88" s="39"/>
      <c r="AF88" s="39"/>
      <c r="AG88" s="39"/>
      <c r="AH88" s="39"/>
      <c r="AI88" s="39"/>
    </row>
    <row r="89" spans="29:35" ht="11.25">
      <c r="AC89" s="39"/>
      <c r="AD89" s="39"/>
      <c r="AE89" s="39"/>
      <c r="AF89" s="39"/>
      <c r="AG89" s="39"/>
      <c r="AH89" s="39"/>
      <c r="AI89" s="39"/>
    </row>
    <row r="90" spans="29:35" ht="11.25">
      <c r="AC90" s="39"/>
      <c r="AD90" s="39"/>
      <c r="AE90" s="39"/>
      <c r="AF90" s="39"/>
      <c r="AG90" s="39"/>
      <c r="AH90" s="39"/>
      <c r="AI90" s="39"/>
    </row>
    <row r="91" spans="29:35" ht="11.25">
      <c r="AC91" s="39"/>
      <c r="AD91" s="39"/>
      <c r="AE91" s="39"/>
      <c r="AF91" s="39"/>
      <c r="AG91" s="39"/>
      <c r="AH91" s="39"/>
      <c r="AI91" s="39"/>
    </row>
    <row r="92" spans="29:35" ht="11.25">
      <c r="AC92" s="39"/>
      <c r="AD92" s="39"/>
      <c r="AE92" s="39"/>
      <c r="AF92" s="39"/>
      <c r="AG92" s="39"/>
      <c r="AH92" s="39"/>
      <c r="AI92" s="39"/>
    </row>
    <row r="93" spans="29:35" ht="11.25">
      <c r="AC93" s="39"/>
      <c r="AD93" s="39"/>
      <c r="AE93" s="39"/>
      <c r="AF93" s="39"/>
      <c r="AG93" s="39"/>
      <c r="AH93" s="39"/>
      <c r="AI93" s="39"/>
    </row>
    <row r="94" spans="29:35" ht="11.25">
      <c r="AC94" s="39"/>
      <c r="AD94" s="39"/>
      <c r="AE94" s="39"/>
      <c r="AF94" s="39"/>
      <c r="AG94" s="39"/>
      <c r="AH94" s="39"/>
      <c r="AI94" s="39"/>
    </row>
    <row r="95" spans="29:35" ht="11.25">
      <c r="AC95" s="39"/>
      <c r="AD95" s="39"/>
      <c r="AE95" s="39"/>
      <c r="AF95" s="39"/>
      <c r="AG95" s="39"/>
      <c r="AH95" s="39"/>
      <c r="AI95" s="39"/>
    </row>
    <row r="96" spans="29:35" ht="11.25">
      <c r="AC96" s="39"/>
      <c r="AD96" s="39"/>
      <c r="AE96" s="39"/>
      <c r="AF96" s="39"/>
      <c r="AG96" s="39"/>
      <c r="AH96" s="39"/>
      <c r="AI96" s="39"/>
    </row>
    <row r="97" spans="29:35" ht="11.25">
      <c r="AC97" s="39"/>
      <c r="AD97" s="39"/>
      <c r="AE97" s="39"/>
      <c r="AF97" s="39"/>
      <c r="AG97" s="39"/>
      <c r="AH97" s="39"/>
      <c r="AI97" s="39"/>
    </row>
    <row r="98" spans="29:35" ht="11.25">
      <c r="AC98" s="39"/>
      <c r="AD98" s="39"/>
      <c r="AE98" s="39"/>
      <c r="AF98" s="39"/>
      <c r="AG98" s="39"/>
      <c r="AH98" s="39"/>
      <c r="AI98" s="39"/>
    </row>
    <row r="99" spans="29:35" ht="11.25">
      <c r="AC99" s="39"/>
      <c r="AD99" s="39"/>
      <c r="AE99" s="39"/>
      <c r="AF99" s="39"/>
      <c r="AG99" s="39"/>
      <c r="AH99" s="39"/>
      <c r="AI99" s="39"/>
    </row>
    <row r="100" spans="29:35" ht="11.25">
      <c r="AC100" s="39"/>
      <c r="AD100" s="39"/>
      <c r="AE100" s="39"/>
      <c r="AF100" s="39"/>
      <c r="AG100" s="39"/>
      <c r="AH100" s="39"/>
      <c r="AI100" s="39"/>
    </row>
    <row r="101" spans="29:35" ht="11.25">
      <c r="AC101" s="39"/>
      <c r="AD101" s="39"/>
      <c r="AE101" s="39"/>
      <c r="AF101" s="39"/>
      <c r="AG101" s="39"/>
      <c r="AH101" s="39"/>
      <c r="AI101" s="39"/>
    </row>
    <row r="102" spans="29:35" ht="11.25">
      <c r="AC102" s="39"/>
      <c r="AD102" s="39"/>
      <c r="AE102" s="39"/>
      <c r="AF102" s="39"/>
      <c r="AG102" s="39"/>
      <c r="AH102" s="39"/>
      <c r="AI102" s="39"/>
    </row>
    <row r="103" spans="29:35" ht="11.25">
      <c r="AC103" s="39"/>
      <c r="AD103" s="39"/>
      <c r="AE103" s="39"/>
      <c r="AF103" s="39"/>
      <c r="AG103" s="39"/>
      <c r="AH103" s="39"/>
      <c r="AI103" s="39"/>
    </row>
    <row r="104" spans="29:35" ht="11.25">
      <c r="AC104" s="39"/>
      <c r="AD104" s="39"/>
      <c r="AE104" s="39"/>
      <c r="AF104" s="39"/>
      <c r="AG104" s="39"/>
      <c r="AH104" s="39"/>
      <c r="AI104" s="39"/>
    </row>
    <row r="105" spans="29:35" ht="11.25">
      <c r="AC105" s="39"/>
      <c r="AD105" s="39"/>
      <c r="AE105" s="39"/>
      <c r="AF105" s="39"/>
      <c r="AG105" s="39"/>
      <c r="AH105" s="39"/>
      <c r="AI105" s="39"/>
    </row>
    <row r="106" spans="29:35" ht="11.25">
      <c r="AC106" s="39"/>
      <c r="AD106" s="39"/>
      <c r="AE106" s="39"/>
      <c r="AF106" s="39"/>
      <c r="AG106" s="39"/>
      <c r="AH106" s="39"/>
      <c r="AI106" s="39"/>
    </row>
    <row r="107" spans="29:35" ht="11.25">
      <c r="AC107" s="39"/>
      <c r="AD107" s="39"/>
      <c r="AE107" s="39"/>
      <c r="AF107" s="39"/>
      <c r="AG107" s="39"/>
      <c r="AH107" s="39"/>
      <c r="AI107" s="39"/>
    </row>
    <row r="108" spans="29:35" ht="11.25">
      <c r="AC108" s="39"/>
      <c r="AD108" s="39"/>
      <c r="AE108" s="39"/>
      <c r="AF108" s="39"/>
      <c r="AG108" s="39"/>
      <c r="AH108" s="39"/>
      <c r="AI108" s="39"/>
    </row>
    <row r="109" spans="29:35" ht="11.25">
      <c r="AC109" s="39"/>
      <c r="AD109" s="39"/>
      <c r="AE109" s="39"/>
      <c r="AF109" s="39"/>
      <c r="AG109" s="39"/>
      <c r="AH109" s="39"/>
      <c r="AI109" s="39"/>
    </row>
    <row r="110" spans="29:35" ht="11.25">
      <c r="AC110" s="39"/>
      <c r="AD110" s="39"/>
      <c r="AE110" s="39"/>
      <c r="AF110" s="39"/>
      <c r="AG110" s="39"/>
      <c r="AH110" s="39"/>
      <c r="AI110" s="39"/>
    </row>
    <row r="111" spans="29:35" ht="11.25">
      <c r="AC111" s="39"/>
      <c r="AD111" s="39"/>
      <c r="AE111" s="39"/>
      <c r="AF111" s="39"/>
      <c r="AG111" s="39"/>
      <c r="AH111" s="39"/>
      <c r="AI111" s="39"/>
    </row>
    <row r="112" spans="29:35" ht="11.25">
      <c r="AC112" s="39"/>
      <c r="AD112" s="39"/>
      <c r="AE112" s="39"/>
      <c r="AF112" s="39"/>
      <c r="AG112" s="39"/>
      <c r="AH112" s="39"/>
      <c r="AI112" s="39"/>
    </row>
    <row r="113" spans="29:35" ht="11.25">
      <c r="AC113" s="39"/>
      <c r="AD113" s="39"/>
      <c r="AE113" s="39"/>
      <c r="AF113" s="39"/>
      <c r="AG113" s="39"/>
      <c r="AH113" s="39"/>
      <c r="AI113" s="39"/>
    </row>
    <row r="114" spans="29:35" ht="11.25">
      <c r="AC114" s="39"/>
      <c r="AD114" s="39"/>
      <c r="AE114" s="39"/>
      <c r="AF114" s="39"/>
      <c r="AG114" s="39"/>
      <c r="AH114" s="39"/>
      <c r="AI114" s="39"/>
    </row>
    <row r="115" spans="29:35" ht="11.25">
      <c r="AC115" s="39"/>
      <c r="AD115" s="39"/>
      <c r="AE115" s="39"/>
      <c r="AF115" s="39"/>
      <c r="AG115" s="39"/>
      <c r="AH115" s="39"/>
      <c r="AI115" s="39"/>
    </row>
    <row r="116" spans="29:35" ht="11.25">
      <c r="AC116" s="39"/>
      <c r="AD116" s="39"/>
      <c r="AE116" s="39"/>
      <c r="AF116" s="39"/>
      <c r="AG116" s="39"/>
      <c r="AH116" s="39"/>
      <c r="AI116" s="39"/>
    </row>
    <row r="117" spans="29:35" ht="11.25">
      <c r="AC117" s="39"/>
      <c r="AD117" s="39"/>
      <c r="AE117" s="39"/>
      <c r="AF117" s="39"/>
      <c r="AG117" s="39"/>
      <c r="AH117" s="39"/>
      <c r="AI117" s="39"/>
    </row>
    <row r="118" spans="29:35" ht="11.25">
      <c r="AC118" s="39"/>
      <c r="AD118" s="39"/>
      <c r="AE118" s="39"/>
      <c r="AF118" s="39"/>
      <c r="AG118" s="39"/>
      <c r="AH118" s="39"/>
      <c r="AI118" s="39"/>
    </row>
    <row r="119" spans="29:35" ht="11.25">
      <c r="AC119" s="39"/>
      <c r="AD119" s="39"/>
      <c r="AE119" s="39"/>
      <c r="AF119" s="39"/>
      <c r="AG119" s="39"/>
      <c r="AH119" s="39"/>
      <c r="AI119" s="39"/>
    </row>
    <row r="120" spans="29:35" ht="11.25">
      <c r="AC120" s="39"/>
      <c r="AD120" s="39"/>
      <c r="AE120" s="39"/>
      <c r="AF120" s="39"/>
      <c r="AG120" s="39"/>
      <c r="AH120" s="39"/>
      <c r="AI120" s="39"/>
    </row>
    <row r="121" spans="29:35" ht="11.25">
      <c r="AC121" s="39"/>
      <c r="AD121" s="39"/>
      <c r="AE121" s="39"/>
      <c r="AF121" s="39"/>
      <c r="AG121" s="39"/>
      <c r="AH121" s="39"/>
      <c r="AI121" s="39"/>
    </row>
    <row r="122" spans="29:35" ht="11.25">
      <c r="AC122" s="39"/>
      <c r="AD122" s="39"/>
      <c r="AE122" s="39"/>
      <c r="AF122" s="39"/>
      <c r="AG122" s="39"/>
      <c r="AH122" s="39"/>
      <c r="AI122" s="39"/>
    </row>
    <row r="123" spans="29:35" ht="11.25">
      <c r="AC123" s="39"/>
      <c r="AD123" s="39"/>
      <c r="AE123" s="39"/>
      <c r="AF123" s="39"/>
      <c r="AG123" s="39"/>
      <c r="AH123" s="39"/>
      <c r="AI123" s="39"/>
    </row>
    <row r="124" spans="29:35" ht="11.25">
      <c r="AC124" s="39"/>
      <c r="AD124" s="39"/>
      <c r="AE124" s="39"/>
      <c r="AF124" s="39"/>
      <c r="AG124" s="39"/>
      <c r="AH124" s="39"/>
      <c r="AI124" s="39"/>
    </row>
    <row r="125" spans="29:35" ht="11.25">
      <c r="AC125" s="39"/>
      <c r="AD125" s="39"/>
      <c r="AE125" s="39"/>
      <c r="AF125" s="39"/>
      <c r="AG125" s="39"/>
      <c r="AH125" s="39"/>
      <c r="AI125" s="39"/>
    </row>
    <row r="126" spans="29:35" ht="11.25">
      <c r="AC126" s="39"/>
      <c r="AD126" s="39"/>
      <c r="AE126" s="39"/>
      <c r="AF126" s="39"/>
      <c r="AG126" s="39"/>
      <c r="AH126" s="39"/>
      <c r="AI126" s="39"/>
    </row>
    <row r="127" spans="29:35" ht="11.25">
      <c r="AC127" s="39"/>
      <c r="AD127" s="39"/>
      <c r="AE127" s="39"/>
      <c r="AF127" s="39"/>
      <c r="AG127" s="39"/>
      <c r="AH127" s="39"/>
      <c r="AI127" s="39"/>
    </row>
    <row r="128" spans="29:35" ht="11.25">
      <c r="AC128" s="39"/>
      <c r="AD128" s="39"/>
      <c r="AE128" s="39"/>
      <c r="AF128" s="39"/>
      <c r="AG128" s="39"/>
      <c r="AH128" s="39"/>
      <c r="AI128" s="39"/>
    </row>
    <row r="129" spans="29:35" ht="11.25">
      <c r="AC129" s="39"/>
      <c r="AD129" s="39"/>
      <c r="AE129" s="39"/>
      <c r="AF129" s="39"/>
      <c r="AG129" s="39"/>
      <c r="AH129" s="39"/>
      <c r="AI129" s="39"/>
    </row>
    <row r="130" spans="29:35" ht="11.25">
      <c r="AC130" s="39"/>
      <c r="AD130" s="39"/>
      <c r="AE130" s="39"/>
      <c r="AF130" s="39"/>
      <c r="AG130" s="39"/>
      <c r="AH130" s="39"/>
      <c r="AI130" s="39"/>
    </row>
    <row r="131" spans="29:35" ht="11.25">
      <c r="AC131" s="39"/>
      <c r="AD131" s="39"/>
      <c r="AE131" s="39"/>
      <c r="AF131" s="39"/>
      <c r="AG131" s="39"/>
      <c r="AH131" s="39"/>
      <c r="AI131" s="39"/>
    </row>
    <row r="132" spans="29:35" ht="11.25">
      <c r="AC132" s="39"/>
      <c r="AD132" s="39"/>
      <c r="AE132" s="39"/>
      <c r="AF132" s="39"/>
      <c r="AG132" s="39"/>
      <c r="AH132" s="39"/>
      <c r="AI132" s="39"/>
    </row>
    <row r="133" spans="29:35" ht="11.25">
      <c r="AC133" s="39"/>
      <c r="AD133" s="39"/>
      <c r="AE133" s="39"/>
      <c r="AF133" s="39"/>
      <c r="AG133" s="39"/>
      <c r="AH133" s="39"/>
      <c r="AI133" s="39"/>
    </row>
    <row r="134" spans="29:35" ht="11.25">
      <c r="AC134" s="39"/>
      <c r="AD134" s="39"/>
      <c r="AE134" s="39"/>
      <c r="AF134" s="39"/>
      <c r="AG134" s="39"/>
      <c r="AH134" s="39"/>
      <c r="AI134" s="39"/>
    </row>
    <row r="135" spans="29:35" ht="11.25">
      <c r="AC135" s="39"/>
      <c r="AD135" s="39"/>
      <c r="AE135" s="39"/>
      <c r="AF135" s="39"/>
      <c r="AG135" s="39"/>
      <c r="AH135" s="39"/>
      <c r="AI135" s="39"/>
    </row>
    <row r="136" spans="29:35" ht="11.25">
      <c r="AC136" s="39"/>
      <c r="AD136" s="39"/>
      <c r="AE136" s="39"/>
      <c r="AF136" s="39"/>
      <c r="AG136" s="39"/>
      <c r="AH136" s="39"/>
      <c r="AI136" s="39"/>
    </row>
    <row r="137" spans="29:35" ht="11.25">
      <c r="AC137" s="39"/>
      <c r="AD137" s="39"/>
      <c r="AE137" s="39"/>
      <c r="AF137" s="39"/>
      <c r="AG137" s="39"/>
      <c r="AH137" s="39"/>
      <c r="AI137" s="39"/>
    </row>
    <row r="138" spans="29:35" ht="11.25">
      <c r="AC138" s="39"/>
      <c r="AD138" s="39"/>
      <c r="AE138" s="39"/>
      <c r="AF138" s="39"/>
      <c r="AG138" s="39"/>
      <c r="AH138" s="39"/>
      <c r="AI138" s="39"/>
    </row>
    <row r="139" spans="29:35" ht="11.25">
      <c r="AC139" s="39"/>
      <c r="AD139" s="39"/>
      <c r="AE139" s="39"/>
      <c r="AF139" s="39"/>
      <c r="AG139" s="39"/>
      <c r="AH139" s="39"/>
      <c r="AI139" s="39"/>
    </row>
    <row r="140" spans="29:35" ht="11.25">
      <c r="AC140" s="39"/>
      <c r="AD140" s="39"/>
      <c r="AE140" s="39"/>
      <c r="AF140" s="39"/>
      <c r="AG140" s="39"/>
      <c r="AH140" s="39"/>
      <c r="AI140" s="39"/>
    </row>
    <row r="141" spans="29:35" ht="11.25">
      <c r="AC141" s="39"/>
      <c r="AD141" s="39"/>
      <c r="AE141" s="39"/>
      <c r="AF141" s="39"/>
      <c r="AG141" s="39"/>
      <c r="AH141" s="39"/>
      <c r="AI141" s="39"/>
    </row>
    <row r="142" spans="29:35" ht="11.25">
      <c r="AC142" s="39"/>
      <c r="AD142" s="39"/>
      <c r="AE142" s="39"/>
      <c r="AF142" s="39"/>
      <c r="AG142" s="39"/>
      <c r="AH142" s="39"/>
      <c r="AI142" s="39"/>
    </row>
    <row r="143" spans="29:35" ht="11.25">
      <c r="AC143" s="39"/>
      <c r="AD143" s="39"/>
      <c r="AE143" s="39"/>
      <c r="AF143" s="39"/>
      <c r="AG143" s="39"/>
      <c r="AH143" s="39"/>
      <c r="AI143" s="39"/>
    </row>
    <row r="144" spans="29:35" ht="11.25">
      <c r="AC144" s="39"/>
      <c r="AD144" s="39"/>
      <c r="AE144" s="39"/>
      <c r="AF144" s="39"/>
      <c r="AG144" s="39"/>
      <c r="AH144" s="39"/>
      <c r="AI144" s="39"/>
    </row>
    <row r="145" spans="29:35" ht="11.25">
      <c r="AC145" s="39"/>
      <c r="AD145" s="39"/>
      <c r="AE145" s="39"/>
      <c r="AF145" s="39"/>
      <c r="AG145" s="39"/>
      <c r="AH145" s="39"/>
      <c r="AI145" s="39"/>
    </row>
    <row r="146" spans="29:35" ht="11.25">
      <c r="AC146" s="39"/>
      <c r="AD146" s="39"/>
      <c r="AE146" s="39"/>
      <c r="AF146" s="39"/>
      <c r="AG146" s="39"/>
      <c r="AH146" s="39"/>
      <c r="AI146" s="39"/>
    </row>
    <row r="147" spans="29:35" ht="11.25">
      <c r="AC147" s="39"/>
      <c r="AD147" s="39"/>
      <c r="AE147" s="39"/>
      <c r="AF147" s="39"/>
      <c r="AG147" s="39"/>
      <c r="AH147" s="39"/>
      <c r="AI147" s="39"/>
    </row>
    <row r="148" spans="29:35" ht="11.25">
      <c r="AC148" s="39"/>
      <c r="AD148" s="39"/>
      <c r="AE148" s="39"/>
      <c r="AF148" s="39"/>
      <c r="AG148" s="39"/>
      <c r="AH148" s="39"/>
      <c r="AI148" s="39"/>
    </row>
    <row r="149" spans="29:35" ht="11.25">
      <c r="AC149" s="39"/>
      <c r="AD149" s="39"/>
      <c r="AE149" s="39"/>
      <c r="AF149" s="39"/>
      <c r="AG149" s="39"/>
      <c r="AH149" s="39"/>
      <c r="AI149" s="39"/>
    </row>
    <row r="150" spans="29:35" ht="11.25">
      <c r="AC150" s="39"/>
      <c r="AD150" s="39"/>
      <c r="AE150" s="39"/>
      <c r="AF150" s="39"/>
      <c r="AG150" s="39"/>
      <c r="AH150" s="39"/>
      <c r="AI150" s="39"/>
    </row>
    <row r="151" spans="29:35" ht="11.25">
      <c r="AC151" s="39"/>
      <c r="AD151" s="39"/>
      <c r="AE151" s="39"/>
      <c r="AF151" s="39"/>
      <c r="AG151" s="39"/>
      <c r="AH151" s="39"/>
      <c r="AI151" s="39"/>
    </row>
    <row r="152" spans="29:35" ht="11.25">
      <c r="AC152" s="39"/>
      <c r="AD152" s="39"/>
      <c r="AE152" s="39"/>
      <c r="AF152" s="39"/>
      <c r="AG152" s="39"/>
      <c r="AH152" s="39"/>
      <c r="AI152" s="39"/>
    </row>
    <row r="153" spans="29:35" ht="11.25">
      <c r="AC153" s="39"/>
      <c r="AD153" s="39"/>
      <c r="AE153" s="39"/>
      <c r="AF153" s="39"/>
      <c r="AG153" s="39"/>
      <c r="AH153" s="39"/>
      <c r="AI153" s="39"/>
    </row>
    <row r="154" spans="29:35" ht="11.25">
      <c r="AC154" s="39"/>
      <c r="AD154" s="39"/>
      <c r="AE154" s="39"/>
      <c r="AF154" s="39"/>
      <c r="AG154" s="39"/>
      <c r="AH154" s="39"/>
      <c r="AI154" s="39"/>
    </row>
    <row r="155" spans="29:35" ht="11.25">
      <c r="AC155" s="39"/>
      <c r="AD155" s="39"/>
      <c r="AE155" s="39"/>
      <c r="AF155" s="39"/>
      <c r="AG155" s="39"/>
      <c r="AH155" s="39"/>
      <c r="AI155" s="39"/>
    </row>
    <row r="156" spans="29:35" ht="11.25">
      <c r="AC156" s="39"/>
      <c r="AD156" s="39"/>
      <c r="AE156" s="39"/>
      <c r="AF156" s="39"/>
      <c r="AG156" s="39"/>
      <c r="AH156" s="39"/>
      <c r="AI156" s="39"/>
    </row>
    <row r="157" spans="29:35" ht="11.25">
      <c r="AC157" s="39"/>
      <c r="AD157" s="39"/>
      <c r="AE157" s="39"/>
      <c r="AF157" s="39"/>
      <c r="AG157" s="39"/>
      <c r="AH157" s="39"/>
      <c r="AI157" s="39"/>
    </row>
    <row r="158" spans="29:35" ht="11.25">
      <c r="AC158" s="39"/>
      <c r="AD158" s="39"/>
      <c r="AE158" s="39"/>
      <c r="AF158" s="39"/>
      <c r="AG158" s="39"/>
      <c r="AH158" s="39"/>
      <c r="AI158" s="39"/>
    </row>
    <row r="159" spans="29:35" ht="11.25">
      <c r="AC159" s="39"/>
      <c r="AD159" s="39"/>
      <c r="AE159" s="39"/>
      <c r="AF159" s="39"/>
      <c r="AG159" s="39"/>
      <c r="AH159" s="39"/>
      <c r="AI159" s="39"/>
    </row>
    <row r="160" spans="29:35" ht="11.25">
      <c r="AC160" s="39"/>
      <c r="AD160" s="39"/>
      <c r="AE160" s="39"/>
      <c r="AF160" s="39"/>
      <c r="AG160" s="39"/>
      <c r="AH160" s="39"/>
      <c r="AI160" s="39"/>
    </row>
    <row r="161" spans="29:35" ht="11.25">
      <c r="AC161" s="39"/>
      <c r="AD161" s="39"/>
      <c r="AE161" s="39"/>
      <c r="AF161" s="39"/>
      <c r="AG161" s="39"/>
      <c r="AH161" s="39"/>
      <c r="AI161" s="39"/>
    </row>
    <row r="162" spans="29:35" ht="11.25">
      <c r="AC162" s="39"/>
      <c r="AD162" s="39"/>
      <c r="AE162" s="39"/>
      <c r="AF162" s="39"/>
      <c r="AG162" s="39"/>
      <c r="AH162" s="39"/>
      <c r="AI162" s="39"/>
    </row>
    <row r="163" spans="29:35" ht="11.25">
      <c r="AC163" s="39"/>
      <c r="AD163" s="39"/>
      <c r="AE163" s="39"/>
      <c r="AF163" s="39"/>
      <c r="AG163" s="39"/>
      <c r="AH163" s="39"/>
      <c r="AI163" s="39"/>
    </row>
    <row r="164" spans="29:35" ht="11.25">
      <c r="AC164" s="39"/>
      <c r="AD164" s="39"/>
      <c r="AE164" s="39"/>
      <c r="AF164" s="39"/>
      <c r="AG164" s="39"/>
      <c r="AH164" s="39"/>
      <c r="AI164" s="39"/>
    </row>
    <row r="165" spans="29:35" ht="11.25">
      <c r="AC165" s="39"/>
      <c r="AD165" s="39"/>
      <c r="AE165" s="39"/>
      <c r="AF165" s="39"/>
      <c r="AG165" s="39"/>
      <c r="AH165" s="39"/>
      <c r="AI165" s="39"/>
    </row>
    <row r="166" spans="29:35" ht="11.25">
      <c r="AC166" s="39"/>
      <c r="AD166" s="39"/>
      <c r="AE166" s="39"/>
      <c r="AF166" s="39"/>
      <c r="AG166" s="39"/>
      <c r="AH166" s="39"/>
      <c r="AI166" s="39"/>
    </row>
    <row r="167" spans="29:35" ht="11.25">
      <c r="AC167" s="39"/>
      <c r="AD167" s="39"/>
      <c r="AE167" s="39"/>
      <c r="AF167" s="39"/>
      <c r="AG167" s="39"/>
      <c r="AH167" s="39"/>
      <c r="AI167" s="39"/>
    </row>
    <row r="168" spans="29:35" ht="11.25">
      <c r="AC168" s="39"/>
      <c r="AD168" s="39"/>
      <c r="AE168" s="39"/>
      <c r="AF168" s="39"/>
      <c r="AG168" s="39"/>
      <c r="AH168" s="39"/>
      <c r="AI168" s="39"/>
    </row>
    <row r="169" spans="29:35" ht="11.25">
      <c r="AC169" s="39"/>
      <c r="AD169" s="39"/>
      <c r="AE169" s="39"/>
      <c r="AF169" s="39"/>
      <c r="AG169" s="39"/>
      <c r="AH169" s="39"/>
      <c r="AI169" s="39"/>
    </row>
    <row r="170" spans="29:35" ht="11.25">
      <c r="AC170" s="39"/>
      <c r="AD170" s="39"/>
      <c r="AE170" s="39"/>
      <c r="AF170" s="39"/>
      <c r="AG170" s="39"/>
      <c r="AH170" s="39"/>
      <c r="AI170" s="39"/>
    </row>
    <row r="171" spans="29:35" ht="11.25">
      <c r="AC171" s="39"/>
      <c r="AD171" s="39"/>
      <c r="AE171" s="39"/>
      <c r="AF171" s="39"/>
      <c r="AG171" s="39"/>
      <c r="AH171" s="39"/>
      <c r="AI171" s="39"/>
    </row>
    <row r="172" spans="29:35" ht="11.25">
      <c r="AC172" s="39"/>
      <c r="AD172" s="39"/>
      <c r="AE172" s="39"/>
      <c r="AF172" s="39"/>
      <c r="AG172" s="39"/>
      <c r="AH172" s="39"/>
      <c r="AI172" s="39"/>
    </row>
    <row r="173" spans="29:35" ht="11.25">
      <c r="AC173" s="39"/>
      <c r="AD173" s="39"/>
      <c r="AE173" s="39"/>
      <c r="AF173" s="39"/>
      <c r="AG173" s="39"/>
      <c r="AH173" s="39"/>
      <c r="AI173" s="39"/>
    </row>
    <row r="174" spans="29:35" ht="11.25">
      <c r="AC174" s="39"/>
      <c r="AD174" s="39"/>
      <c r="AE174" s="39"/>
      <c r="AF174" s="39"/>
      <c r="AG174" s="39"/>
      <c r="AH174" s="39"/>
      <c r="AI174" s="39"/>
    </row>
    <row r="175" spans="29:35" ht="11.25">
      <c r="AC175" s="39"/>
      <c r="AD175" s="39"/>
      <c r="AE175" s="39"/>
      <c r="AF175" s="39"/>
      <c r="AG175" s="39"/>
      <c r="AH175" s="39"/>
      <c r="AI175" s="39"/>
    </row>
    <row r="176" spans="29:35" ht="11.25">
      <c r="AC176" s="39"/>
      <c r="AD176" s="39"/>
      <c r="AE176" s="39"/>
      <c r="AF176" s="39"/>
      <c r="AG176" s="39"/>
      <c r="AH176" s="39"/>
      <c r="AI176" s="39"/>
    </row>
    <row r="177" spans="29:35" ht="11.25">
      <c r="AC177" s="39"/>
      <c r="AD177" s="39"/>
      <c r="AE177" s="39"/>
      <c r="AF177" s="39"/>
      <c r="AG177" s="39"/>
      <c r="AH177" s="39"/>
      <c r="AI177" s="39"/>
    </row>
    <row r="178" spans="29:35" ht="11.25">
      <c r="AC178" s="39"/>
      <c r="AD178" s="39"/>
      <c r="AE178" s="39"/>
      <c r="AF178" s="39"/>
      <c r="AG178" s="39"/>
      <c r="AH178" s="39"/>
      <c r="AI178" s="39"/>
    </row>
    <row r="179" spans="29:35" ht="11.25">
      <c r="AC179" s="39"/>
      <c r="AD179" s="39"/>
      <c r="AE179" s="39"/>
      <c r="AF179" s="39"/>
      <c r="AG179" s="39"/>
      <c r="AH179" s="39"/>
      <c r="AI179" s="39"/>
    </row>
    <row r="180" spans="29:35" ht="11.25">
      <c r="AC180" s="39"/>
      <c r="AD180" s="39"/>
      <c r="AE180" s="39"/>
      <c r="AF180" s="39"/>
      <c r="AG180" s="39"/>
      <c r="AH180" s="39"/>
      <c r="AI180" s="39"/>
    </row>
    <row r="181" spans="29:35" ht="11.25">
      <c r="AC181" s="39"/>
      <c r="AD181" s="39"/>
      <c r="AE181" s="39"/>
      <c r="AF181" s="39"/>
      <c r="AG181" s="39"/>
      <c r="AH181" s="39"/>
      <c r="AI181" s="39"/>
    </row>
    <row r="182" spans="29:35" ht="11.25">
      <c r="AC182" s="39"/>
      <c r="AD182" s="39"/>
      <c r="AE182" s="39"/>
      <c r="AF182" s="39"/>
      <c r="AG182" s="39"/>
      <c r="AH182" s="39"/>
      <c r="AI182" s="39"/>
    </row>
    <row r="183" spans="29:35" ht="11.25">
      <c r="AC183" s="39"/>
      <c r="AD183" s="39"/>
      <c r="AE183" s="39"/>
      <c r="AF183" s="39"/>
      <c r="AG183" s="39"/>
      <c r="AH183" s="39"/>
      <c r="AI183" s="39"/>
    </row>
    <row r="184" spans="29:35" ht="11.25">
      <c r="AC184" s="39"/>
      <c r="AD184" s="39"/>
      <c r="AE184" s="39"/>
      <c r="AF184" s="39"/>
      <c r="AG184" s="39"/>
      <c r="AH184" s="39"/>
      <c r="AI184" s="39"/>
    </row>
    <row r="185" spans="29:35" ht="11.25">
      <c r="AC185" s="39"/>
      <c r="AD185" s="39"/>
      <c r="AE185" s="39"/>
      <c r="AF185" s="39"/>
      <c r="AG185" s="39"/>
      <c r="AH185" s="39"/>
      <c r="AI185" s="39"/>
    </row>
    <row r="186" spans="29:35" ht="11.25">
      <c r="AC186" s="39"/>
      <c r="AD186" s="39"/>
      <c r="AE186" s="39"/>
      <c r="AF186" s="39"/>
      <c r="AG186" s="39"/>
      <c r="AH186" s="39"/>
      <c r="AI186" s="39"/>
    </row>
    <row r="187" spans="29:35" ht="11.25">
      <c r="AC187" s="39"/>
      <c r="AD187" s="39"/>
      <c r="AE187" s="39"/>
      <c r="AF187" s="39"/>
      <c r="AG187" s="39"/>
      <c r="AH187" s="39"/>
      <c r="AI187" s="39"/>
    </row>
    <row r="188" spans="29:35" ht="11.25">
      <c r="AC188" s="39"/>
      <c r="AD188" s="39"/>
      <c r="AE188" s="39"/>
      <c r="AF188" s="39"/>
      <c r="AG188" s="39"/>
      <c r="AH188" s="39"/>
      <c r="AI188" s="39"/>
    </row>
    <row r="189" spans="29:35" ht="11.25">
      <c r="AC189" s="39"/>
      <c r="AD189" s="39"/>
      <c r="AE189" s="39"/>
      <c r="AF189" s="39"/>
      <c r="AG189" s="39"/>
      <c r="AH189" s="39"/>
      <c r="AI189" s="39"/>
    </row>
    <row r="190" spans="29:35" ht="11.25">
      <c r="AC190" s="39"/>
      <c r="AD190" s="39"/>
      <c r="AE190" s="39"/>
      <c r="AF190" s="39"/>
      <c r="AG190" s="39"/>
      <c r="AH190" s="39"/>
      <c r="AI190" s="39"/>
    </row>
    <row r="191" spans="29:35" ht="11.25">
      <c r="AC191" s="39"/>
      <c r="AD191" s="39"/>
      <c r="AE191" s="39"/>
      <c r="AF191" s="39"/>
      <c r="AG191" s="39"/>
      <c r="AH191" s="39"/>
      <c r="AI191" s="39"/>
    </row>
    <row r="192" spans="29:35" ht="11.25">
      <c r="AC192" s="39"/>
      <c r="AD192" s="39"/>
      <c r="AE192" s="39"/>
      <c r="AF192" s="39"/>
      <c r="AG192" s="39"/>
      <c r="AH192" s="39"/>
      <c r="AI192" s="39"/>
    </row>
    <row r="193" spans="29:35" ht="11.25">
      <c r="AC193" s="39"/>
      <c r="AD193" s="39"/>
      <c r="AE193" s="39"/>
      <c r="AF193" s="39"/>
      <c r="AG193" s="39"/>
      <c r="AH193" s="39"/>
      <c r="AI193" s="39"/>
    </row>
    <row r="194" spans="29:35" ht="11.25">
      <c r="AC194" s="39"/>
      <c r="AD194" s="39"/>
      <c r="AE194" s="39"/>
      <c r="AF194" s="39"/>
      <c r="AG194" s="39"/>
      <c r="AH194" s="39"/>
      <c r="AI194" s="39"/>
    </row>
    <row r="195" spans="29:35" ht="11.25">
      <c r="AC195" s="39"/>
      <c r="AD195" s="39"/>
      <c r="AE195" s="39"/>
      <c r="AF195" s="39"/>
      <c r="AG195" s="39"/>
      <c r="AH195" s="39"/>
      <c r="AI195" s="39"/>
    </row>
    <row r="196" spans="29:35" ht="11.25">
      <c r="AC196" s="39"/>
      <c r="AD196" s="39"/>
      <c r="AE196" s="39"/>
      <c r="AF196" s="39"/>
      <c r="AG196" s="39"/>
      <c r="AH196" s="39"/>
      <c r="AI196" s="39"/>
    </row>
    <row r="197" spans="29:35" ht="11.25">
      <c r="AC197" s="39"/>
      <c r="AD197" s="39"/>
      <c r="AE197" s="39"/>
      <c r="AF197" s="39"/>
      <c r="AG197" s="39"/>
      <c r="AH197" s="39"/>
      <c r="AI197" s="39"/>
    </row>
    <row r="198" spans="29:35" ht="11.25">
      <c r="AC198" s="39"/>
      <c r="AD198" s="39"/>
      <c r="AE198" s="39"/>
      <c r="AF198" s="39"/>
      <c r="AG198" s="39"/>
      <c r="AH198" s="39"/>
      <c r="AI198" s="39"/>
    </row>
    <row r="199" spans="29:35" ht="11.25">
      <c r="AC199" s="39"/>
      <c r="AD199" s="39"/>
      <c r="AE199" s="39"/>
      <c r="AF199" s="39"/>
      <c r="AG199" s="39"/>
      <c r="AH199" s="39"/>
      <c r="AI199" s="39"/>
    </row>
    <row r="200" spans="29:35" ht="11.25">
      <c r="AC200" s="39"/>
      <c r="AD200" s="39"/>
      <c r="AE200" s="39"/>
      <c r="AF200" s="39"/>
      <c r="AG200" s="39"/>
      <c r="AH200" s="39"/>
      <c r="AI200" s="39"/>
    </row>
    <row r="201" spans="29:35" ht="11.25">
      <c r="AC201" s="39"/>
      <c r="AD201" s="39"/>
      <c r="AE201" s="39"/>
      <c r="AF201" s="39"/>
      <c r="AG201" s="39"/>
      <c r="AH201" s="39"/>
      <c r="AI201" s="39"/>
    </row>
    <row r="202" spans="29:35" ht="11.25">
      <c r="AC202" s="39"/>
      <c r="AD202" s="39"/>
      <c r="AE202" s="39"/>
      <c r="AF202" s="39"/>
      <c r="AG202" s="39"/>
      <c r="AH202" s="39"/>
      <c r="AI202" s="39"/>
    </row>
    <row r="203" spans="29:35" ht="11.25">
      <c r="AC203" s="39"/>
      <c r="AD203" s="39"/>
      <c r="AE203" s="39"/>
      <c r="AF203" s="39"/>
      <c r="AG203" s="39"/>
      <c r="AH203" s="39"/>
      <c r="AI203" s="39"/>
    </row>
    <row r="204" spans="29:35" ht="11.25">
      <c r="AC204" s="39"/>
      <c r="AD204" s="39"/>
      <c r="AE204" s="39"/>
      <c r="AF204" s="39"/>
      <c r="AG204" s="39"/>
      <c r="AH204" s="39"/>
      <c r="AI204" s="39"/>
    </row>
    <row r="205" spans="29:35" ht="11.25">
      <c r="AC205" s="39"/>
      <c r="AD205" s="39"/>
      <c r="AE205" s="39"/>
      <c r="AF205" s="39"/>
      <c r="AG205" s="39"/>
      <c r="AH205" s="39"/>
      <c r="AI205" s="39"/>
    </row>
    <row r="206" spans="29:35" ht="11.25">
      <c r="AC206" s="39"/>
      <c r="AD206" s="39"/>
      <c r="AE206" s="39"/>
      <c r="AF206" s="39"/>
      <c r="AG206" s="39"/>
      <c r="AH206" s="39"/>
      <c r="AI206" s="39"/>
    </row>
    <row r="207" spans="29:35" ht="11.25">
      <c r="AC207" s="39"/>
      <c r="AD207" s="39"/>
      <c r="AE207" s="39"/>
      <c r="AF207" s="39"/>
      <c r="AG207" s="39"/>
      <c r="AH207" s="39"/>
      <c r="AI207" s="39"/>
    </row>
    <row r="208" spans="29:35" ht="11.25">
      <c r="AC208" s="39"/>
      <c r="AD208" s="39"/>
      <c r="AE208" s="39"/>
      <c r="AF208" s="39"/>
      <c r="AG208" s="39"/>
      <c r="AH208" s="39"/>
      <c r="AI208" s="39"/>
    </row>
    <row r="209" spans="29:35" ht="11.25">
      <c r="AC209" s="39"/>
      <c r="AD209" s="39"/>
      <c r="AE209" s="39"/>
      <c r="AF209" s="39"/>
      <c r="AG209" s="39"/>
      <c r="AH209" s="39"/>
      <c r="AI209" s="39"/>
    </row>
    <row r="210" spans="29:35" ht="11.25">
      <c r="AC210" s="39"/>
      <c r="AD210" s="39"/>
      <c r="AE210" s="39"/>
      <c r="AF210" s="39"/>
      <c r="AG210" s="39"/>
      <c r="AH210" s="39"/>
      <c r="AI210" s="39"/>
    </row>
    <row r="211" spans="29:35" ht="11.25">
      <c r="AC211" s="39"/>
      <c r="AD211" s="39"/>
      <c r="AE211" s="39"/>
      <c r="AF211" s="39"/>
      <c r="AG211" s="39"/>
      <c r="AH211" s="39"/>
      <c r="AI211" s="39"/>
    </row>
    <row r="212" spans="29:35" ht="11.25">
      <c r="AC212" s="39"/>
      <c r="AD212" s="39"/>
      <c r="AE212" s="39"/>
      <c r="AF212" s="39"/>
      <c r="AG212" s="39"/>
      <c r="AH212" s="39"/>
      <c r="AI212" s="39"/>
    </row>
    <row r="213" spans="29:35" ht="11.25">
      <c r="AC213" s="39"/>
      <c r="AD213" s="39"/>
      <c r="AE213" s="39"/>
      <c r="AF213" s="39"/>
      <c r="AG213" s="39"/>
      <c r="AH213" s="39"/>
      <c r="AI213" s="39"/>
    </row>
    <row r="214" spans="29:35" ht="11.25">
      <c r="AC214" s="39"/>
      <c r="AD214" s="39"/>
      <c r="AE214" s="39"/>
      <c r="AF214" s="39"/>
      <c r="AG214" s="39"/>
      <c r="AH214" s="39"/>
      <c r="AI214" s="39"/>
    </row>
    <row r="215" spans="29:35" ht="11.25">
      <c r="AC215" s="39"/>
      <c r="AD215" s="39"/>
      <c r="AE215" s="39"/>
      <c r="AF215" s="39"/>
      <c r="AG215" s="39"/>
      <c r="AH215" s="39"/>
      <c r="AI215" s="39"/>
    </row>
    <row r="216" spans="29:35" ht="11.25">
      <c r="AC216" s="39"/>
      <c r="AD216" s="39"/>
      <c r="AE216" s="39"/>
      <c r="AF216" s="39"/>
      <c r="AG216" s="39"/>
      <c r="AH216" s="39"/>
      <c r="AI216" s="39"/>
    </row>
    <row r="217" spans="29:35" ht="11.25">
      <c r="AC217" s="39"/>
      <c r="AD217" s="39"/>
      <c r="AE217" s="39"/>
      <c r="AF217" s="39"/>
      <c r="AG217" s="39"/>
      <c r="AH217" s="39"/>
      <c r="AI217" s="39"/>
    </row>
    <row r="218" spans="29:35" ht="11.25">
      <c r="AC218" s="39"/>
      <c r="AD218" s="39"/>
      <c r="AE218" s="39"/>
      <c r="AF218" s="39"/>
      <c r="AG218" s="39"/>
      <c r="AH218" s="39"/>
      <c r="AI218" s="39"/>
    </row>
    <row r="219" spans="29:35" ht="11.25">
      <c r="AC219" s="39"/>
      <c r="AD219" s="39"/>
      <c r="AE219" s="39"/>
      <c r="AF219" s="39"/>
      <c r="AG219" s="39"/>
      <c r="AH219" s="39"/>
      <c r="AI219" s="39"/>
    </row>
    <row r="220" spans="29:35" ht="11.25">
      <c r="AC220" s="39"/>
      <c r="AD220" s="39"/>
      <c r="AE220" s="39"/>
      <c r="AF220" s="39"/>
      <c r="AG220" s="39"/>
      <c r="AH220" s="39"/>
      <c r="AI220" s="39"/>
    </row>
    <row r="221" spans="29:35" ht="11.25">
      <c r="AC221" s="39"/>
      <c r="AD221" s="39"/>
      <c r="AE221" s="39"/>
      <c r="AF221" s="39"/>
      <c r="AG221" s="39"/>
      <c r="AH221" s="39"/>
      <c r="AI221" s="39"/>
    </row>
    <row r="222" spans="29:35" ht="11.25">
      <c r="AC222" s="39"/>
      <c r="AD222" s="39"/>
      <c r="AE222" s="39"/>
      <c r="AF222" s="39"/>
      <c r="AG222" s="39"/>
      <c r="AH222" s="39"/>
      <c r="AI222" s="39"/>
    </row>
    <row r="223" spans="29:35" ht="11.25">
      <c r="AC223" s="39"/>
      <c r="AD223" s="39"/>
      <c r="AE223" s="39"/>
      <c r="AF223" s="39"/>
      <c r="AG223" s="39"/>
      <c r="AH223" s="39"/>
      <c r="AI223" s="39"/>
    </row>
    <row r="224" spans="29:35" ht="11.25">
      <c r="AC224" s="39"/>
      <c r="AD224" s="39"/>
      <c r="AE224" s="39"/>
      <c r="AF224" s="39"/>
      <c r="AG224" s="39"/>
      <c r="AH224" s="39"/>
      <c r="AI224" s="39"/>
    </row>
    <row r="225" spans="29:35" ht="11.25">
      <c r="AC225" s="39"/>
      <c r="AD225" s="39"/>
      <c r="AE225" s="39"/>
      <c r="AF225" s="39"/>
      <c r="AG225" s="39"/>
      <c r="AH225" s="39"/>
      <c r="AI225" s="39"/>
    </row>
    <row r="226" spans="29:35" ht="11.25">
      <c r="AC226" s="39"/>
      <c r="AD226" s="39"/>
      <c r="AE226" s="39"/>
      <c r="AF226" s="39"/>
      <c r="AG226" s="39"/>
      <c r="AH226" s="39"/>
      <c r="AI226" s="39"/>
    </row>
    <row r="227" spans="29:35" ht="11.25">
      <c r="AC227" s="39"/>
      <c r="AD227" s="39"/>
      <c r="AE227" s="39"/>
      <c r="AF227" s="39"/>
      <c r="AG227" s="39"/>
      <c r="AH227" s="39"/>
      <c r="AI227" s="39"/>
    </row>
    <row r="228" spans="29:35" ht="11.25">
      <c r="AC228" s="39"/>
      <c r="AD228" s="39"/>
      <c r="AE228" s="39"/>
      <c r="AF228" s="39"/>
      <c r="AG228" s="39"/>
      <c r="AH228" s="39"/>
      <c r="AI228" s="39"/>
    </row>
    <row r="229" spans="29:35" ht="11.25">
      <c r="AC229" s="39"/>
      <c r="AD229" s="39"/>
      <c r="AE229" s="39"/>
      <c r="AF229" s="39"/>
      <c r="AG229" s="39"/>
      <c r="AH229" s="39"/>
      <c r="AI229" s="39"/>
    </row>
    <row r="230" spans="29:35" ht="11.25">
      <c r="AC230" s="39"/>
      <c r="AD230" s="39"/>
      <c r="AE230" s="39"/>
      <c r="AF230" s="39"/>
      <c r="AG230" s="39"/>
      <c r="AH230" s="39"/>
      <c r="AI230" s="39"/>
    </row>
    <row r="231" spans="29:35" ht="11.25">
      <c r="AC231" s="39"/>
      <c r="AD231" s="39"/>
      <c r="AE231" s="39"/>
      <c r="AF231" s="39"/>
      <c r="AG231" s="39"/>
      <c r="AH231" s="39"/>
      <c r="AI231" s="39"/>
    </row>
    <row r="232" spans="29:35" ht="11.25">
      <c r="AC232" s="39"/>
      <c r="AD232" s="39"/>
      <c r="AE232" s="39"/>
      <c r="AF232" s="39"/>
      <c r="AG232" s="39"/>
      <c r="AH232" s="39"/>
      <c r="AI232" s="39"/>
    </row>
    <row r="233" spans="29:35" ht="11.25">
      <c r="AC233" s="39"/>
      <c r="AD233" s="39"/>
      <c r="AE233" s="39"/>
      <c r="AF233" s="39"/>
      <c r="AG233" s="39"/>
      <c r="AH233" s="39"/>
      <c r="AI233" s="39"/>
    </row>
    <row r="234" spans="29:35" ht="11.25">
      <c r="AC234" s="39"/>
      <c r="AD234" s="39"/>
      <c r="AE234" s="39"/>
      <c r="AF234" s="39"/>
      <c r="AG234" s="39"/>
      <c r="AH234" s="39"/>
      <c r="AI234" s="39"/>
    </row>
    <row r="235" spans="29:35" ht="11.25">
      <c r="AC235" s="39"/>
      <c r="AD235" s="39"/>
      <c r="AE235" s="39"/>
      <c r="AF235" s="39"/>
      <c r="AG235" s="39"/>
      <c r="AH235" s="39"/>
      <c r="AI235" s="39"/>
    </row>
    <row r="236" spans="29:35" ht="11.25">
      <c r="AC236" s="39"/>
      <c r="AD236" s="39"/>
      <c r="AE236" s="39"/>
      <c r="AF236" s="39"/>
      <c r="AG236" s="39"/>
      <c r="AH236" s="39"/>
      <c r="AI236" s="39"/>
    </row>
    <row r="237" spans="29:35" ht="11.25">
      <c r="AC237" s="39"/>
      <c r="AD237" s="39"/>
      <c r="AE237" s="39"/>
      <c r="AF237" s="39"/>
      <c r="AG237" s="39"/>
      <c r="AH237" s="39"/>
      <c r="AI237" s="39"/>
    </row>
    <row r="238" spans="29:35" ht="11.25">
      <c r="AC238" s="39"/>
      <c r="AD238" s="39"/>
      <c r="AE238" s="39"/>
      <c r="AF238" s="39"/>
      <c r="AG238" s="39"/>
      <c r="AH238" s="39"/>
      <c r="AI238" s="39"/>
    </row>
    <row r="239" spans="29:35" ht="11.25">
      <c r="AC239" s="39"/>
      <c r="AD239" s="39"/>
      <c r="AE239" s="39"/>
      <c r="AF239" s="39"/>
      <c r="AG239" s="39"/>
      <c r="AH239" s="39"/>
      <c r="AI239" s="39"/>
    </row>
    <row r="240" spans="29:35" ht="11.25">
      <c r="AC240" s="39"/>
      <c r="AD240" s="39"/>
      <c r="AE240" s="39"/>
      <c r="AF240" s="39"/>
      <c r="AG240" s="39"/>
      <c r="AH240" s="39"/>
      <c r="AI240" s="39"/>
    </row>
    <row r="241" spans="29:35" ht="11.25">
      <c r="AC241" s="39"/>
      <c r="AD241" s="39"/>
      <c r="AE241" s="39"/>
      <c r="AF241" s="39"/>
      <c r="AG241" s="39"/>
      <c r="AH241" s="39"/>
      <c r="AI241" s="39"/>
    </row>
    <row r="242" spans="29:35" ht="11.25">
      <c r="AC242" s="39"/>
      <c r="AD242" s="39"/>
      <c r="AE242" s="39"/>
      <c r="AF242" s="39"/>
      <c r="AG242" s="39"/>
      <c r="AH242" s="39"/>
      <c r="AI242" s="39"/>
    </row>
    <row r="243" spans="29:35" ht="11.25">
      <c r="AC243" s="39"/>
      <c r="AD243" s="39"/>
      <c r="AE243" s="39"/>
      <c r="AF243" s="39"/>
      <c r="AG243" s="39"/>
      <c r="AH243" s="39"/>
      <c r="AI243" s="39"/>
    </row>
    <row r="244" spans="29:35" ht="11.25">
      <c r="AC244" s="39"/>
      <c r="AD244" s="39"/>
      <c r="AE244" s="39"/>
      <c r="AF244" s="39"/>
      <c r="AG244" s="39"/>
      <c r="AH244" s="39"/>
      <c r="AI244" s="39"/>
    </row>
    <row r="245" spans="29:35" ht="11.25">
      <c r="AC245" s="39"/>
      <c r="AD245" s="39"/>
      <c r="AE245" s="39"/>
      <c r="AF245" s="39"/>
      <c r="AG245" s="39"/>
      <c r="AH245" s="39"/>
      <c r="AI245" s="39"/>
    </row>
    <row r="246" spans="29:35" ht="11.25">
      <c r="AC246" s="39"/>
      <c r="AD246" s="39"/>
      <c r="AE246" s="39"/>
      <c r="AF246" s="39"/>
      <c r="AG246" s="39"/>
      <c r="AH246" s="39"/>
      <c r="AI246" s="39"/>
    </row>
  </sheetData>
  <sheetProtection/>
  <mergeCells count="5">
    <mergeCell ref="X18:Y18"/>
    <mergeCell ref="X2:Y2"/>
    <mergeCell ref="A1:AB1"/>
    <mergeCell ref="A9:AB9"/>
    <mergeCell ref="A17:AB17"/>
  </mergeCells>
  <printOptions horizontalCentered="1"/>
  <pageMargins left="0.11811023622047245" right="0.59" top="0.984251968503937" bottom="0.984251968503937" header="0.4724409448818898" footer="0.5118110236220472"/>
  <pageSetup horizontalDpi="300" verticalDpi="300" orientation="landscape" paperSize="9" r:id="rId1"/>
  <headerFooter alignWithMargins="0">
    <oddHeader>&amp;LMistrovství Moravy a Slezska ve vícebojích&amp;C17. ročník Třineckých atletických vícebojů&amp;RTřinec  9.-10.6.2012</oddHeader>
    <oddFooter>&amp;LHlavní rozhodčí: Krzystek Jiří&amp;RŘeditel závodu: Szmeková Emilie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pane xSplit="5" ySplit="4" topLeftCell="Q5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D45" sqref="D45"/>
    </sheetView>
  </sheetViews>
  <sheetFormatPr defaultColWidth="9.00390625" defaultRowHeight="12.75"/>
  <cols>
    <col min="1" max="1" width="4.75390625" style="5" bestFit="1" customWidth="1"/>
    <col min="2" max="2" width="15.375" style="100" customWidth="1"/>
    <col min="3" max="3" width="4.75390625" style="97" customWidth="1"/>
    <col min="4" max="4" width="7.375" style="6" customWidth="1"/>
    <col min="5" max="5" width="5.00390625" style="27" customWidth="1"/>
    <col min="6" max="6" width="6.375" style="5" bestFit="1" customWidth="1"/>
    <col min="7" max="7" width="4.00390625" style="5" bestFit="1" customWidth="1"/>
    <col min="8" max="8" width="6.125" style="5" customWidth="1"/>
    <col min="9" max="9" width="4.00390625" style="5" customWidth="1"/>
    <col min="10" max="10" width="6.375" style="5" bestFit="1" customWidth="1"/>
    <col min="11" max="11" width="4.00390625" style="5" customWidth="1"/>
    <col min="12" max="12" width="5.625" style="5" bestFit="1" customWidth="1"/>
    <col min="13" max="13" width="4.00390625" style="5" customWidth="1"/>
    <col min="14" max="14" width="4.625" style="5" bestFit="1" customWidth="1"/>
    <col min="15" max="15" width="4.00390625" style="5" customWidth="1"/>
    <col min="16" max="16" width="4.375" style="5" bestFit="1" customWidth="1"/>
    <col min="17" max="17" width="4.00390625" style="5" customWidth="1"/>
    <col min="18" max="18" width="5.625" style="5" bestFit="1" customWidth="1"/>
    <col min="19" max="19" width="4.00390625" style="5" customWidth="1"/>
    <col min="20" max="20" width="6.375" style="5" bestFit="1" customWidth="1"/>
    <col min="21" max="21" width="4.00390625" style="5" customWidth="1"/>
    <col min="22" max="22" width="2.25390625" style="5" bestFit="1" customWidth="1"/>
    <col min="23" max="23" width="5.375" style="5" bestFit="1" customWidth="1"/>
    <col min="24" max="24" width="4.00390625" style="5" customWidth="1"/>
    <col min="25" max="25" width="5.25390625" style="5" customWidth="1"/>
    <col min="26" max="26" width="5.00390625" style="5" bestFit="1" customWidth="1"/>
    <col min="27" max="27" width="15.00390625" style="5" customWidth="1"/>
    <col min="28" max="28" width="3.625" style="5" customWidth="1"/>
    <col min="29" max="29" width="7.375" style="5" customWidth="1"/>
    <col min="30" max="32" width="6.75390625" style="5" customWidth="1"/>
    <col min="33" max="16384" width="9.125" style="5" customWidth="1"/>
  </cols>
  <sheetData>
    <row r="1" spans="1:27" ht="20.25">
      <c r="A1" s="286" t="s">
        <v>15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110" t="s">
        <v>62</v>
      </c>
    </row>
    <row r="2" ht="13.5" customHeight="1" thickBot="1"/>
    <row r="3" spans="1:32" ht="66" customHeight="1" thickBot="1">
      <c r="A3" s="9" t="s">
        <v>9</v>
      </c>
      <c r="B3" s="10" t="s">
        <v>8</v>
      </c>
      <c r="C3" s="98" t="s">
        <v>42</v>
      </c>
      <c r="D3" s="7" t="s">
        <v>43</v>
      </c>
      <c r="E3" s="7" t="s">
        <v>12</v>
      </c>
      <c r="F3" s="7" t="s">
        <v>48</v>
      </c>
      <c r="G3" s="7" t="s">
        <v>10</v>
      </c>
      <c r="H3" s="7" t="s">
        <v>4</v>
      </c>
      <c r="I3" s="7" t="s">
        <v>10</v>
      </c>
      <c r="J3" s="7" t="s">
        <v>5</v>
      </c>
      <c r="K3" s="7" t="s">
        <v>10</v>
      </c>
      <c r="L3" s="7" t="s">
        <v>6</v>
      </c>
      <c r="M3" s="7" t="s">
        <v>10</v>
      </c>
      <c r="N3" s="7" t="s">
        <v>28</v>
      </c>
      <c r="O3" s="7" t="s">
        <v>10</v>
      </c>
      <c r="P3" s="7" t="s">
        <v>2</v>
      </c>
      <c r="Q3" s="7" t="s">
        <v>10</v>
      </c>
      <c r="R3" s="7" t="s">
        <v>1</v>
      </c>
      <c r="S3" s="7" t="s">
        <v>10</v>
      </c>
      <c r="T3" s="7" t="s">
        <v>3</v>
      </c>
      <c r="U3" s="7" t="s">
        <v>10</v>
      </c>
      <c r="V3" s="287" t="s">
        <v>49</v>
      </c>
      <c r="W3" s="288"/>
      <c r="X3" s="7" t="s">
        <v>10</v>
      </c>
      <c r="Y3" s="7" t="s">
        <v>7</v>
      </c>
      <c r="Z3" s="8" t="s">
        <v>11</v>
      </c>
      <c r="AA3" s="10" t="s">
        <v>8</v>
      </c>
      <c r="AB3" s="98" t="s">
        <v>42</v>
      </c>
      <c r="AC3" s="7" t="s">
        <v>43</v>
      </c>
      <c r="AD3" s="109" t="s">
        <v>63</v>
      </c>
      <c r="AE3" s="109" t="s">
        <v>64</v>
      </c>
      <c r="AF3" s="109" t="s">
        <v>60</v>
      </c>
    </row>
    <row r="4" spans="1:32" ht="15.75" customHeight="1" hidden="1">
      <c r="A4" s="21"/>
      <c r="B4" s="101"/>
      <c r="C4" s="99"/>
      <c r="D4" s="23"/>
      <c r="E4" s="21">
        <f aca="true" t="shared" si="0" ref="E4:E26">G4+I4+K4+M4+O4+Q4+S4+U4+X4</f>
        <v>5761</v>
      </c>
      <c r="F4" s="24">
        <v>15.04</v>
      </c>
      <c r="G4" s="23">
        <f aca="true" t="shared" si="1" ref="G4:G26">IF(F4&lt;&gt;0,INT(8.73753*(26-F4)^1.835),0)</f>
        <v>707</v>
      </c>
      <c r="H4" s="24">
        <v>36.12</v>
      </c>
      <c r="I4" s="23">
        <f aca="true" t="shared" si="2" ref="I4:I26">IF(H4&lt;&gt;0,INT(12.91*(H4-4)^1.1),0)</f>
        <v>586</v>
      </c>
      <c r="J4" s="24">
        <v>3.8</v>
      </c>
      <c r="K4" s="23">
        <f aca="true" t="shared" si="3" ref="K4:K26">IF(J4&lt;&gt;0,INT(0.2797*((J4*100)-100)^1.35),0)</f>
        <v>562</v>
      </c>
      <c r="L4" s="24">
        <v>53.54</v>
      </c>
      <c r="M4" s="23">
        <f aca="true" t="shared" si="4" ref="M4:M26">IF(L4&lt;&gt;0,INT(10.14*(L4-7)^1.08),0)</f>
        <v>641</v>
      </c>
      <c r="N4" s="24">
        <v>7.6</v>
      </c>
      <c r="O4" s="23">
        <f aca="true" t="shared" si="5" ref="O4:O24">IF(N4&lt;&gt;0,INT(58.015*(11.5-N4)^1.81),0)</f>
        <v>681</v>
      </c>
      <c r="P4" s="24">
        <v>6.77</v>
      </c>
      <c r="Q4" s="23">
        <f aca="true" t="shared" si="6" ref="Q4:Q26">IF(P4&lt;&gt;0,INT(0.14354*((P4*100)-220)^1.4),0)</f>
        <v>760</v>
      </c>
      <c r="R4" s="24">
        <v>12.27</v>
      </c>
      <c r="S4" s="23">
        <f aca="true" t="shared" si="7" ref="S4:S26">IF(R4&lt;&gt;0,INT(51.39*(R4-1.5)^1.05),0)</f>
        <v>623</v>
      </c>
      <c r="T4" s="24">
        <v>1.94</v>
      </c>
      <c r="U4" s="23">
        <f aca="true" t="shared" si="8" ref="U4:U26">IF(T4&lt;&gt;0,INT(0.8465*((T4*100)-75)^1.42),0)</f>
        <v>749</v>
      </c>
      <c r="V4" s="23">
        <v>3</v>
      </c>
      <c r="W4" s="24">
        <v>23.61</v>
      </c>
      <c r="X4" s="23">
        <f aca="true" t="shared" si="9" ref="X4:X22">IF(V4+W4&lt;&gt;0,INT(0.08713*(305.5-((V4*60)+W4))^1.85),0)</f>
        <v>452</v>
      </c>
      <c r="Y4" s="25">
        <f aca="true" t="shared" si="10" ref="Y4:Y26">G4+I4+K4+M4</f>
        <v>2496</v>
      </c>
      <c r="Z4" s="25">
        <f aca="true" t="shared" si="11" ref="Z4:Z26">O4+Q4+S4+U4+X4</f>
        <v>3265</v>
      </c>
      <c r="AA4" s="26"/>
      <c r="AD4" s="39"/>
      <c r="AE4" s="39"/>
      <c r="AF4" s="39"/>
    </row>
    <row r="5" spans="1:32" ht="12.75">
      <c r="A5" s="49" t="s">
        <v>18</v>
      </c>
      <c r="B5" s="54" t="s">
        <v>109</v>
      </c>
      <c r="C5" s="55">
        <v>98</v>
      </c>
      <c r="D5" s="55" t="s">
        <v>110</v>
      </c>
      <c r="E5" s="68">
        <f t="shared" si="0"/>
        <v>4961</v>
      </c>
      <c r="F5" s="69">
        <v>16.08</v>
      </c>
      <c r="G5" s="70">
        <f t="shared" si="1"/>
        <v>588</v>
      </c>
      <c r="H5" s="69">
        <v>39.82</v>
      </c>
      <c r="I5" s="70">
        <f t="shared" si="2"/>
        <v>661</v>
      </c>
      <c r="J5" s="69">
        <v>3.7</v>
      </c>
      <c r="K5" s="70">
        <f t="shared" si="3"/>
        <v>535</v>
      </c>
      <c r="L5" s="69">
        <v>37.9</v>
      </c>
      <c r="M5" s="70">
        <f t="shared" si="4"/>
        <v>412</v>
      </c>
      <c r="N5" s="69">
        <v>7.85</v>
      </c>
      <c r="O5" s="70">
        <f t="shared" si="5"/>
        <v>604</v>
      </c>
      <c r="P5" s="69">
        <v>5.82</v>
      </c>
      <c r="Q5" s="70">
        <f t="shared" si="6"/>
        <v>548</v>
      </c>
      <c r="R5" s="69">
        <v>11.48</v>
      </c>
      <c r="S5" s="70">
        <f t="shared" si="7"/>
        <v>575</v>
      </c>
      <c r="T5" s="69">
        <v>1.66</v>
      </c>
      <c r="U5" s="70">
        <f t="shared" si="8"/>
        <v>512</v>
      </c>
      <c r="V5" s="71">
        <v>3</v>
      </c>
      <c r="W5" s="72">
        <v>14.91</v>
      </c>
      <c r="X5" s="70">
        <f t="shared" si="9"/>
        <v>526</v>
      </c>
      <c r="Y5" s="73">
        <f t="shared" si="10"/>
        <v>2196</v>
      </c>
      <c r="Z5" s="73">
        <f t="shared" si="11"/>
        <v>2765</v>
      </c>
      <c r="AA5" s="54"/>
      <c r="AB5" s="55"/>
      <c r="AC5" s="55"/>
      <c r="AD5" s="112" t="s">
        <v>207</v>
      </c>
      <c r="AE5" s="112" t="s">
        <v>229</v>
      </c>
      <c r="AF5" s="112" t="s">
        <v>231</v>
      </c>
    </row>
    <row r="6" spans="1:32" ht="12.75">
      <c r="A6" s="49" t="s">
        <v>19</v>
      </c>
      <c r="B6" s="54" t="s">
        <v>111</v>
      </c>
      <c r="C6" s="55">
        <v>97</v>
      </c>
      <c r="D6" s="52" t="s">
        <v>89</v>
      </c>
      <c r="E6" s="68">
        <f t="shared" si="0"/>
        <v>4372</v>
      </c>
      <c r="F6" s="69">
        <v>14.85</v>
      </c>
      <c r="G6" s="70">
        <f t="shared" si="1"/>
        <v>729</v>
      </c>
      <c r="H6" s="69">
        <v>27.68</v>
      </c>
      <c r="I6" s="70">
        <f t="shared" si="2"/>
        <v>419</v>
      </c>
      <c r="J6" s="69">
        <v>3</v>
      </c>
      <c r="K6" s="70">
        <f t="shared" si="3"/>
        <v>357</v>
      </c>
      <c r="L6" s="69">
        <v>29.9</v>
      </c>
      <c r="M6" s="70">
        <f t="shared" si="4"/>
        <v>298</v>
      </c>
      <c r="N6" s="69">
        <v>7.92</v>
      </c>
      <c r="O6" s="70">
        <f t="shared" si="5"/>
        <v>583</v>
      </c>
      <c r="P6" s="69">
        <v>5.09</v>
      </c>
      <c r="Q6" s="70">
        <f t="shared" si="6"/>
        <v>400</v>
      </c>
      <c r="R6" s="69">
        <v>8.1</v>
      </c>
      <c r="S6" s="70">
        <f t="shared" si="7"/>
        <v>372</v>
      </c>
      <c r="T6" s="69">
        <v>1.75</v>
      </c>
      <c r="U6" s="70">
        <f t="shared" si="8"/>
        <v>585</v>
      </c>
      <c r="V6" s="71">
        <v>3</v>
      </c>
      <c r="W6" s="72">
        <v>3.64</v>
      </c>
      <c r="X6" s="70">
        <f t="shared" si="9"/>
        <v>629</v>
      </c>
      <c r="Y6" s="73">
        <f t="shared" si="10"/>
        <v>1803</v>
      </c>
      <c r="Z6" s="73">
        <f t="shared" si="11"/>
        <v>2569</v>
      </c>
      <c r="AA6" s="54"/>
      <c r="AB6" s="55"/>
      <c r="AC6" s="55"/>
      <c r="AD6" s="112" t="s">
        <v>207</v>
      </c>
      <c r="AE6" s="112" t="s">
        <v>229</v>
      </c>
      <c r="AF6" s="112" t="s">
        <v>67</v>
      </c>
    </row>
    <row r="7" spans="1:32" ht="12.75">
      <c r="A7" s="49" t="s">
        <v>20</v>
      </c>
      <c r="B7" s="212" t="s">
        <v>114</v>
      </c>
      <c r="C7" s="214" t="s">
        <v>101</v>
      </c>
      <c r="D7" s="213" t="s">
        <v>80</v>
      </c>
      <c r="E7" s="68">
        <f t="shared" si="0"/>
        <v>4258</v>
      </c>
      <c r="F7" s="69">
        <v>14.75</v>
      </c>
      <c r="G7" s="70">
        <f t="shared" si="1"/>
        <v>741</v>
      </c>
      <c r="H7" s="69">
        <v>25.41</v>
      </c>
      <c r="I7" s="70">
        <f t="shared" si="2"/>
        <v>375</v>
      </c>
      <c r="J7" s="69">
        <v>2.6</v>
      </c>
      <c r="K7" s="70">
        <f t="shared" si="3"/>
        <v>264</v>
      </c>
      <c r="L7" s="69">
        <v>26.55</v>
      </c>
      <c r="M7" s="70">
        <f t="shared" si="4"/>
        <v>251</v>
      </c>
      <c r="N7" s="69">
        <v>7.78</v>
      </c>
      <c r="O7" s="70">
        <f t="shared" si="5"/>
        <v>625</v>
      </c>
      <c r="P7" s="69">
        <v>5.72</v>
      </c>
      <c r="Q7" s="70">
        <f t="shared" si="6"/>
        <v>527</v>
      </c>
      <c r="R7" s="69">
        <v>8.67</v>
      </c>
      <c r="S7" s="70">
        <f t="shared" si="7"/>
        <v>406</v>
      </c>
      <c r="T7" s="69">
        <v>1.6</v>
      </c>
      <c r="U7" s="70">
        <f t="shared" si="8"/>
        <v>464</v>
      </c>
      <c r="V7" s="71">
        <v>3</v>
      </c>
      <c r="W7" s="72">
        <v>6.22</v>
      </c>
      <c r="X7" s="70">
        <f t="shared" si="9"/>
        <v>605</v>
      </c>
      <c r="Y7" s="73">
        <f t="shared" si="10"/>
        <v>1631</v>
      </c>
      <c r="Z7" s="73">
        <f t="shared" si="11"/>
        <v>2627</v>
      </c>
      <c r="AA7" s="94"/>
      <c r="AB7" s="50"/>
      <c r="AC7" s="50"/>
      <c r="AD7" s="112" t="s">
        <v>208</v>
      </c>
      <c r="AE7" s="112" t="s">
        <v>229</v>
      </c>
      <c r="AF7" s="112" t="s">
        <v>214</v>
      </c>
    </row>
    <row r="8" spans="1:32" ht="12.75">
      <c r="A8" s="49" t="s">
        <v>21</v>
      </c>
      <c r="B8" s="212" t="s">
        <v>116</v>
      </c>
      <c r="C8" s="214" t="s">
        <v>95</v>
      </c>
      <c r="D8" s="213" t="s">
        <v>98</v>
      </c>
      <c r="E8" s="68">
        <f t="shared" si="0"/>
        <v>4236</v>
      </c>
      <c r="F8" s="69">
        <v>15.93</v>
      </c>
      <c r="G8" s="70">
        <f t="shared" si="1"/>
        <v>605</v>
      </c>
      <c r="H8" s="69">
        <v>27.18</v>
      </c>
      <c r="I8" s="70">
        <f t="shared" si="2"/>
        <v>409</v>
      </c>
      <c r="J8" s="69">
        <v>2.6</v>
      </c>
      <c r="K8" s="70">
        <f t="shared" si="3"/>
        <v>264</v>
      </c>
      <c r="L8" s="69">
        <v>38.46</v>
      </c>
      <c r="M8" s="70">
        <f t="shared" si="4"/>
        <v>420</v>
      </c>
      <c r="N8" s="69">
        <v>8.36</v>
      </c>
      <c r="O8" s="70">
        <f t="shared" si="5"/>
        <v>460</v>
      </c>
      <c r="P8" s="69">
        <v>5.82</v>
      </c>
      <c r="Q8" s="70">
        <f t="shared" si="6"/>
        <v>548</v>
      </c>
      <c r="R8" s="69">
        <v>9.23</v>
      </c>
      <c r="S8" s="70">
        <f t="shared" si="7"/>
        <v>440</v>
      </c>
      <c r="T8" s="69">
        <v>1.75</v>
      </c>
      <c r="U8" s="70">
        <f t="shared" si="8"/>
        <v>585</v>
      </c>
      <c r="V8" s="71">
        <v>3</v>
      </c>
      <c r="W8" s="72">
        <v>17.24</v>
      </c>
      <c r="X8" s="70">
        <f t="shared" si="9"/>
        <v>505</v>
      </c>
      <c r="Y8" s="73">
        <f t="shared" si="10"/>
        <v>1698</v>
      </c>
      <c r="Z8" s="73">
        <f t="shared" si="11"/>
        <v>2538</v>
      </c>
      <c r="AA8" s="94"/>
      <c r="AB8" s="50"/>
      <c r="AC8" s="50"/>
      <c r="AD8" s="112" t="s">
        <v>207</v>
      </c>
      <c r="AE8" s="112" t="s">
        <v>212</v>
      </c>
      <c r="AF8" s="112" t="s">
        <v>244</v>
      </c>
    </row>
    <row r="9" spans="1:32" ht="12.75">
      <c r="A9" s="49" t="s">
        <v>22</v>
      </c>
      <c r="B9" s="212" t="s">
        <v>112</v>
      </c>
      <c r="C9" s="214" t="s">
        <v>101</v>
      </c>
      <c r="D9" s="213" t="s">
        <v>98</v>
      </c>
      <c r="E9" s="68">
        <f t="shared" si="0"/>
        <v>4035</v>
      </c>
      <c r="F9" s="69">
        <v>15.03</v>
      </c>
      <c r="G9" s="70">
        <f t="shared" si="1"/>
        <v>708</v>
      </c>
      <c r="H9" s="69">
        <v>19.85</v>
      </c>
      <c r="I9" s="70">
        <f t="shared" si="2"/>
        <v>269</v>
      </c>
      <c r="J9" s="69">
        <v>2.3</v>
      </c>
      <c r="K9" s="70">
        <f t="shared" si="3"/>
        <v>199</v>
      </c>
      <c r="L9" s="69">
        <v>33.17</v>
      </c>
      <c r="M9" s="70">
        <f t="shared" si="4"/>
        <v>344</v>
      </c>
      <c r="N9" s="69">
        <v>8.18</v>
      </c>
      <c r="O9" s="70">
        <f t="shared" si="5"/>
        <v>509</v>
      </c>
      <c r="P9" s="69">
        <v>5.32</v>
      </c>
      <c r="Q9" s="70">
        <f t="shared" si="6"/>
        <v>445</v>
      </c>
      <c r="R9" s="69">
        <v>9.31</v>
      </c>
      <c r="S9" s="70">
        <f t="shared" si="7"/>
        <v>444</v>
      </c>
      <c r="T9" s="69">
        <v>1.69</v>
      </c>
      <c r="U9" s="70">
        <f t="shared" si="8"/>
        <v>536</v>
      </c>
      <c r="V9" s="71">
        <v>3</v>
      </c>
      <c r="W9" s="72">
        <v>8.71</v>
      </c>
      <c r="X9" s="70">
        <f t="shared" si="9"/>
        <v>581</v>
      </c>
      <c r="Y9" s="73">
        <f t="shared" si="10"/>
        <v>1520</v>
      </c>
      <c r="Z9" s="73">
        <f t="shared" si="11"/>
        <v>2515</v>
      </c>
      <c r="AA9" s="94"/>
      <c r="AB9" s="50"/>
      <c r="AC9" s="50"/>
      <c r="AD9" s="112" t="s">
        <v>207</v>
      </c>
      <c r="AE9" s="112" t="s">
        <v>212</v>
      </c>
      <c r="AF9" s="112" t="s">
        <v>227</v>
      </c>
    </row>
    <row r="10" spans="1:32" ht="12.75">
      <c r="A10" s="49" t="s">
        <v>23</v>
      </c>
      <c r="B10" s="212" t="s">
        <v>105</v>
      </c>
      <c r="C10" s="214" t="s">
        <v>101</v>
      </c>
      <c r="D10" s="213" t="s">
        <v>89</v>
      </c>
      <c r="E10" s="68">
        <f t="shared" si="0"/>
        <v>3919</v>
      </c>
      <c r="F10" s="69">
        <v>14.53</v>
      </c>
      <c r="G10" s="70">
        <f t="shared" si="1"/>
        <v>768</v>
      </c>
      <c r="H10" s="69">
        <v>30.82</v>
      </c>
      <c r="I10" s="70">
        <f t="shared" si="2"/>
        <v>481</v>
      </c>
      <c r="J10" s="69">
        <v>2.4</v>
      </c>
      <c r="K10" s="70">
        <f t="shared" si="3"/>
        <v>220</v>
      </c>
      <c r="L10" s="69">
        <v>21.47</v>
      </c>
      <c r="M10" s="70">
        <f t="shared" si="4"/>
        <v>181</v>
      </c>
      <c r="N10" s="69">
        <v>7.68</v>
      </c>
      <c r="O10" s="70">
        <f t="shared" si="5"/>
        <v>656</v>
      </c>
      <c r="P10" s="69">
        <v>4.72</v>
      </c>
      <c r="Q10" s="70">
        <f t="shared" si="6"/>
        <v>330</v>
      </c>
      <c r="R10" s="69">
        <v>9.36</v>
      </c>
      <c r="S10" s="70">
        <f t="shared" si="7"/>
        <v>447</v>
      </c>
      <c r="T10" s="69">
        <v>1.39</v>
      </c>
      <c r="U10" s="70">
        <f t="shared" si="8"/>
        <v>310</v>
      </c>
      <c r="V10" s="71">
        <v>3</v>
      </c>
      <c r="W10" s="72">
        <v>14.9</v>
      </c>
      <c r="X10" s="70">
        <f t="shared" si="9"/>
        <v>526</v>
      </c>
      <c r="Y10" s="73">
        <f t="shared" si="10"/>
        <v>1650</v>
      </c>
      <c r="Z10" s="73">
        <f t="shared" si="11"/>
        <v>2269</v>
      </c>
      <c r="AA10" s="94"/>
      <c r="AB10" s="50"/>
      <c r="AC10" s="50"/>
      <c r="AD10" s="112" t="s">
        <v>207</v>
      </c>
      <c r="AE10" s="112" t="s">
        <v>229</v>
      </c>
      <c r="AF10" s="112" t="s">
        <v>227</v>
      </c>
    </row>
    <row r="11" spans="1:32" ht="12.75">
      <c r="A11" s="49" t="s">
        <v>24</v>
      </c>
      <c r="B11" s="54" t="s">
        <v>201</v>
      </c>
      <c r="C11" s="55">
        <v>97</v>
      </c>
      <c r="D11" s="52" t="s">
        <v>54</v>
      </c>
      <c r="E11" s="68">
        <f t="shared" si="0"/>
        <v>3913</v>
      </c>
      <c r="F11" s="69">
        <v>18.01</v>
      </c>
      <c r="G11" s="70">
        <f t="shared" si="1"/>
        <v>395</v>
      </c>
      <c r="H11" s="69">
        <v>27.69</v>
      </c>
      <c r="I11" s="70">
        <f t="shared" si="2"/>
        <v>419</v>
      </c>
      <c r="J11" s="69">
        <v>2.6</v>
      </c>
      <c r="K11" s="70">
        <f t="shared" si="3"/>
        <v>264</v>
      </c>
      <c r="L11" s="69">
        <v>34.59</v>
      </c>
      <c r="M11" s="70">
        <f t="shared" si="4"/>
        <v>364</v>
      </c>
      <c r="N11" s="69">
        <v>8.17</v>
      </c>
      <c r="O11" s="70">
        <f t="shared" si="5"/>
        <v>511</v>
      </c>
      <c r="P11" s="69">
        <v>5.16</v>
      </c>
      <c r="Q11" s="70">
        <f t="shared" si="6"/>
        <v>413</v>
      </c>
      <c r="R11" s="69">
        <v>11.1</v>
      </c>
      <c r="S11" s="70">
        <f t="shared" si="7"/>
        <v>552</v>
      </c>
      <c r="T11" s="69">
        <v>1.54</v>
      </c>
      <c r="U11" s="70">
        <f t="shared" si="8"/>
        <v>419</v>
      </c>
      <c r="V11" s="71">
        <v>3</v>
      </c>
      <c r="W11" s="74">
        <v>9.27</v>
      </c>
      <c r="X11" s="70">
        <f t="shared" si="9"/>
        <v>576</v>
      </c>
      <c r="Y11" s="73">
        <f t="shared" si="10"/>
        <v>1442</v>
      </c>
      <c r="Z11" s="73">
        <f t="shared" si="11"/>
        <v>2471</v>
      </c>
      <c r="AA11" s="54"/>
      <c r="AB11" s="55"/>
      <c r="AC11" s="55"/>
      <c r="AD11" s="112" t="s">
        <v>207</v>
      </c>
      <c r="AE11" s="112" t="s">
        <v>229</v>
      </c>
      <c r="AF11" s="112" t="s">
        <v>226</v>
      </c>
    </row>
    <row r="12" spans="1:32" ht="12.75">
      <c r="A12" s="49" t="s">
        <v>25</v>
      </c>
      <c r="B12" s="212" t="s">
        <v>100</v>
      </c>
      <c r="C12" s="214" t="s">
        <v>101</v>
      </c>
      <c r="D12" s="213" t="s">
        <v>98</v>
      </c>
      <c r="E12" s="68">
        <f t="shared" si="0"/>
        <v>3777</v>
      </c>
      <c r="F12" s="69">
        <v>15.45</v>
      </c>
      <c r="G12" s="70">
        <f t="shared" si="1"/>
        <v>659</v>
      </c>
      <c r="H12" s="69">
        <v>24.66</v>
      </c>
      <c r="I12" s="70">
        <f t="shared" si="2"/>
        <v>361</v>
      </c>
      <c r="J12" s="69">
        <v>2.3</v>
      </c>
      <c r="K12" s="70">
        <f t="shared" si="3"/>
        <v>199</v>
      </c>
      <c r="L12" s="69">
        <v>34.35</v>
      </c>
      <c r="M12" s="70">
        <f t="shared" si="4"/>
        <v>361</v>
      </c>
      <c r="N12" s="69">
        <v>7.82</v>
      </c>
      <c r="O12" s="70">
        <f t="shared" si="5"/>
        <v>613</v>
      </c>
      <c r="P12" s="69">
        <v>4.73</v>
      </c>
      <c r="Q12" s="70">
        <f t="shared" si="6"/>
        <v>332</v>
      </c>
      <c r="R12" s="69">
        <v>8.56</v>
      </c>
      <c r="S12" s="70">
        <f t="shared" si="7"/>
        <v>400</v>
      </c>
      <c r="T12" s="69">
        <v>1.57</v>
      </c>
      <c r="U12" s="70">
        <f t="shared" si="8"/>
        <v>441</v>
      </c>
      <c r="V12" s="71">
        <v>3</v>
      </c>
      <c r="W12" s="72">
        <v>28.69</v>
      </c>
      <c r="X12" s="70">
        <f t="shared" si="9"/>
        <v>411</v>
      </c>
      <c r="Y12" s="73">
        <f t="shared" si="10"/>
        <v>1580</v>
      </c>
      <c r="Z12" s="73">
        <f t="shared" si="11"/>
        <v>2197</v>
      </c>
      <c r="AA12" s="54"/>
      <c r="AB12" s="55"/>
      <c r="AC12" s="55"/>
      <c r="AD12" s="112" t="s">
        <v>207</v>
      </c>
      <c r="AE12" s="112" t="s">
        <v>212</v>
      </c>
      <c r="AF12" s="112" t="s">
        <v>227</v>
      </c>
    </row>
    <row r="13" spans="1:32" ht="12.75">
      <c r="A13" s="49" t="s">
        <v>26</v>
      </c>
      <c r="B13" s="212" t="s">
        <v>99</v>
      </c>
      <c r="C13" s="214" t="s">
        <v>95</v>
      </c>
      <c r="D13" s="213" t="s">
        <v>89</v>
      </c>
      <c r="E13" s="68">
        <f t="shared" si="0"/>
        <v>3687</v>
      </c>
      <c r="F13" s="69">
        <v>15.62</v>
      </c>
      <c r="G13" s="70">
        <f t="shared" si="1"/>
        <v>639</v>
      </c>
      <c r="H13" s="69">
        <v>30.03</v>
      </c>
      <c r="I13" s="70">
        <f t="shared" si="2"/>
        <v>465</v>
      </c>
      <c r="J13" s="69">
        <v>2.6</v>
      </c>
      <c r="K13" s="70">
        <f t="shared" si="3"/>
        <v>264</v>
      </c>
      <c r="L13" s="69">
        <v>24.88</v>
      </c>
      <c r="M13" s="70">
        <f t="shared" si="4"/>
        <v>228</v>
      </c>
      <c r="N13" s="69">
        <v>8.1</v>
      </c>
      <c r="O13" s="70">
        <f t="shared" si="5"/>
        <v>531</v>
      </c>
      <c r="P13" s="69">
        <v>4.85</v>
      </c>
      <c r="Q13" s="70">
        <f t="shared" si="6"/>
        <v>354</v>
      </c>
      <c r="R13" s="69">
        <v>9.9</v>
      </c>
      <c r="S13" s="70">
        <f t="shared" si="7"/>
        <v>480</v>
      </c>
      <c r="T13" s="69">
        <v>1.39</v>
      </c>
      <c r="U13" s="70">
        <f t="shared" si="8"/>
        <v>310</v>
      </c>
      <c r="V13" s="71">
        <v>3</v>
      </c>
      <c r="W13" s="72">
        <v>28.03</v>
      </c>
      <c r="X13" s="70">
        <f t="shared" si="9"/>
        <v>416</v>
      </c>
      <c r="Y13" s="73">
        <f t="shared" si="10"/>
        <v>1596</v>
      </c>
      <c r="Z13" s="73">
        <f t="shared" si="11"/>
        <v>2091</v>
      </c>
      <c r="AA13" s="54"/>
      <c r="AB13" s="55"/>
      <c r="AC13" s="55"/>
      <c r="AD13" s="112" t="s">
        <v>207</v>
      </c>
      <c r="AE13" s="112" t="s">
        <v>212</v>
      </c>
      <c r="AF13" s="112" t="s">
        <v>208</v>
      </c>
    </row>
    <row r="14" spans="1:32" ht="12.75">
      <c r="A14" s="49" t="s">
        <v>27</v>
      </c>
      <c r="B14" s="212" t="s">
        <v>115</v>
      </c>
      <c r="C14" s="214" t="s">
        <v>95</v>
      </c>
      <c r="D14" s="213" t="s">
        <v>104</v>
      </c>
      <c r="E14" s="68">
        <f t="shared" si="0"/>
        <v>3585</v>
      </c>
      <c r="F14" s="69">
        <v>16.49</v>
      </c>
      <c r="G14" s="70">
        <f t="shared" si="1"/>
        <v>544</v>
      </c>
      <c r="H14" s="69">
        <v>26.72</v>
      </c>
      <c r="I14" s="70">
        <f t="shared" si="2"/>
        <v>400</v>
      </c>
      <c r="J14" s="69">
        <v>0</v>
      </c>
      <c r="K14" s="70">
        <f t="shared" si="3"/>
        <v>0</v>
      </c>
      <c r="L14" s="69">
        <v>41.84</v>
      </c>
      <c r="M14" s="70">
        <f t="shared" si="4"/>
        <v>469</v>
      </c>
      <c r="N14" s="69">
        <v>8.09</v>
      </c>
      <c r="O14" s="70">
        <f t="shared" si="5"/>
        <v>534</v>
      </c>
      <c r="P14" s="69">
        <v>5.04</v>
      </c>
      <c r="Q14" s="70">
        <f t="shared" si="6"/>
        <v>390</v>
      </c>
      <c r="R14" s="69">
        <v>10.45</v>
      </c>
      <c r="S14" s="70">
        <f t="shared" si="7"/>
        <v>513</v>
      </c>
      <c r="T14" s="69">
        <v>1.6</v>
      </c>
      <c r="U14" s="70">
        <f t="shared" si="8"/>
        <v>464</v>
      </c>
      <c r="V14" s="71">
        <v>3</v>
      </c>
      <c r="W14" s="72">
        <v>48.17</v>
      </c>
      <c r="X14" s="70">
        <f t="shared" si="9"/>
        <v>271</v>
      </c>
      <c r="Y14" s="73">
        <f t="shared" si="10"/>
        <v>1413</v>
      </c>
      <c r="Z14" s="73">
        <f t="shared" si="11"/>
        <v>2172</v>
      </c>
      <c r="AA14" s="94"/>
      <c r="AB14" s="50"/>
      <c r="AC14" s="50"/>
      <c r="AD14" s="112" t="s">
        <v>207</v>
      </c>
      <c r="AE14" s="112" t="s">
        <v>229</v>
      </c>
      <c r="AF14" s="112" t="s">
        <v>245</v>
      </c>
    </row>
    <row r="15" spans="1:32" ht="12.75">
      <c r="A15" s="49" t="s">
        <v>30</v>
      </c>
      <c r="B15" s="212" t="s">
        <v>96</v>
      </c>
      <c r="C15" s="214" t="s">
        <v>95</v>
      </c>
      <c r="D15" s="213" t="s">
        <v>80</v>
      </c>
      <c r="E15" s="68">
        <f t="shared" si="0"/>
        <v>3442</v>
      </c>
      <c r="F15" s="69">
        <v>17.59</v>
      </c>
      <c r="G15" s="70">
        <f t="shared" si="1"/>
        <v>434</v>
      </c>
      <c r="H15" s="69">
        <v>21.85</v>
      </c>
      <c r="I15" s="70">
        <f t="shared" si="2"/>
        <v>307</v>
      </c>
      <c r="J15" s="69">
        <v>3.1</v>
      </c>
      <c r="K15" s="70">
        <f t="shared" si="3"/>
        <v>381</v>
      </c>
      <c r="L15" s="69">
        <v>27.83</v>
      </c>
      <c r="M15" s="70">
        <f t="shared" si="4"/>
        <v>269</v>
      </c>
      <c r="N15" s="69">
        <v>8.22</v>
      </c>
      <c r="O15" s="70">
        <f t="shared" si="5"/>
        <v>498</v>
      </c>
      <c r="P15" s="69">
        <v>4.53</v>
      </c>
      <c r="Q15" s="70">
        <f t="shared" si="6"/>
        <v>295</v>
      </c>
      <c r="R15" s="69">
        <v>8.81</v>
      </c>
      <c r="S15" s="70">
        <f t="shared" si="7"/>
        <v>414</v>
      </c>
      <c r="T15" s="69">
        <v>1.48</v>
      </c>
      <c r="U15" s="70">
        <f t="shared" si="8"/>
        <v>374</v>
      </c>
      <c r="V15" s="71">
        <v>3</v>
      </c>
      <c r="W15" s="72">
        <v>21.38</v>
      </c>
      <c r="X15" s="70">
        <f t="shared" si="9"/>
        <v>470</v>
      </c>
      <c r="Y15" s="73">
        <f t="shared" si="10"/>
        <v>1391</v>
      </c>
      <c r="Z15" s="73">
        <f t="shared" si="11"/>
        <v>2051</v>
      </c>
      <c r="AA15" s="54"/>
      <c r="AB15" s="50"/>
      <c r="AC15" s="50"/>
      <c r="AD15" s="112" t="s">
        <v>207</v>
      </c>
      <c r="AE15" s="112" t="s">
        <v>229</v>
      </c>
      <c r="AF15" s="112" t="s">
        <v>207</v>
      </c>
    </row>
    <row r="16" spans="1:32" ht="12.75">
      <c r="A16" s="49" t="s">
        <v>31</v>
      </c>
      <c r="B16" s="212" t="s">
        <v>97</v>
      </c>
      <c r="C16" s="214" t="s">
        <v>95</v>
      </c>
      <c r="D16" s="213" t="s">
        <v>89</v>
      </c>
      <c r="E16" s="68">
        <f t="shared" si="0"/>
        <v>3275</v>
      </c>
      <c r="F16" s="69">
        <v>16.99</v>
      </c>
      <c r="G16" s="70">
        <f t="shared" si="1"/>
        <v>493</v>
      </c>
      <c r="H16" s="69">
        <v>17.64</v>
      </c>
      <c r="I16" s="70">
        <f t="shared" si="2"/>
        <v>228</v>
      </c>
      <c r="J16" s="69">
        <v>2.1</v>
      </c>
      <c r="K16" s="70">
        <f t="shared" si="3"/>
        <v>159</v>
      </c>
      <c r="L16" s="69">
        <v>28.08</v>
      </c>
      <c r="M16" s="70">
        <f t="shared" si="4"/>
        <v>272</v>
      </c>
      <c r="N16" s="69">
        <v>8.21</v>
      </c>
      <c r="O16" s="70">
        <f t="shared" si="5"/>
        <v>500</v>
      </c>
      <c r="P16" s="69">
        <v>5.15</v>
      </c>
      <c r="Q16" s="70">
        <f t="shared" si="6"/>
        <v>411</v>
      </c>
      <c r="R16" s="69">
        <v>8.9</v>
      </c>
      <c r="S16" s="70">
        <f t="shared" si="7"/>
        <v>420</v>
      </c>
      <c r="T16" s="69">
        <v>1.57</v>
      </c>
      <c r="U16" s="70">
        <f t="shared" si="8"/>
        <v>441</v>
      </c>
      <c r="V16" s="71">
        <v>3</v>
      </c>
      <c r="W16" s="72">
        <v>36.58</v>
      </c>
      <c r="X16" s="70">
        <f t="shared" si="9"/>
        <v>351</v>
      </c>
      <c r="Y16" s="73">
        <f t="shared" si="10"/>
        <v>1152</v>
      </c>
      <c r="Z16" s="73">
        <f t="shared" si="11"/>
        <v>2123</v>
      </c>
      <c r="AA16" s="54"/>
      <c r="AB16" s="55"/>
      <c r="AC16" s="55"/>
      <c r="AD16" s="112" t="s">
        <v>207</v>
      </c>
      <c r="AE16" s="112" t="s">
        <v>212</v>
      </c>
      <c r="AF16" s="112" t="s">
        <v>208</v>
      </c>
    </row>
    <row r="17" spans="1:32" ht="12.75">
      <c r="A17" s="49" t="s">
        <v>32</v>
      </c>
      <c r="B17" s="54" t="s">
        <v>107</v>
      </c>
      <c r="C17" s="55">
        <v>98</v>
      </c>
      <c r="D17" s="55" t="s">
        <v>82</v>
      </c>
      <c r="E17" s="68">
        <f t="shared" si="0"/>
        <v>3005</v>
      </c>
      <c r="F17" s="69">
        <v>15.71</v>
      </c>
      <c r="G17" s="70">
        <f t="shared" si="1"/>
        <v>629</v>
      </c>
      <c r="H17" s="69">
        <v>21.84</v>
      </c>
      <c r="I17" s="70">
        <f t="shared" si="2"/>
        <v>307</v>
      </c>
      <c r="J17" s="69">
        <v>0</v>
      </c>
      <c r="K17" s="70">
        <f t="shared" si="3"/>
        <v>0</v>
      </c>
      <c r="L17" s="69">
        <v>24.51</v>
      </c>
      <c r="M17" s="70">
        <f t="shared" si="4"/>
        <v>223</v>
      </c>
      <c r="N17" s="69">
        <v>8.18</v>
      </c>
      <c r="O17" s="70">
        <f t="shared" si="5"/>
        <v>509</v>
      </c>
      <c r="P17" s="69">
        <v>5.15</v>
      </c>
      <c r="Q17" s="70">
        <f t="shared" si="6"/>
        <v>411</v>
      </c>
      <c r="R17" s="69">
        <v>6.36</v>
      </c>
      <c r="S17" s="70">
        <f t="shared" si="7"/>
        <v>270</v>
      </c>
      <c r="T17" s="69">
        <v>1.45</v>
      </c>
      <c r="U17" s="70">
        <f t="shared" si="8"/>
        <v>352</v>
      </c>
      <c r="V17" s="71">
        <v>3</v>
      </c>
      <c r="W17" s="72">
        <v>43.19</v>
      </c>
      <c r="X17" s="70">
        <f t="shared" si="9"/>
        <v>304</v>
      </c>
      <c r="Y17" s="73">
        <f t="shared" si="10"/>
        <v>1159</v>
      </c>
      <c r="Z17" s="73">
        <f t="shared" si="11"/>
        <v>1846</v>
      </c>
      <c r="AA17" s="51"/>
      <c r="AB17" s="52"/>
      <c r="AC17" s="52"/>
      <c r="AD17" s="112" t="s">
        <v>207</v>
      </c>
      <c r="AE17" s="112" t="s">
        <v>212</v>
      </c>
      <c r="AF17" s="112" t="s">
        <v>207</v>
      </c>
    </row>
    <row r="18" spans="1:32" ht="12.75">
      <c r="A18" s="49" t="s">
        <v>33</v>
      </c>
      <c r="B18" s="212" t="s">
        <v>106</v>
      </c>
      <c r="C18" s="214" t="s">
        <v>101</v>
      </c>
      <c r="D18" s="213" t="s">
        <v>76</v>
      </c>
      <c r="E18" s="68">
        <f t="shared" si="0"/>
        <v>2898</v>
      </c>
      <c r="F18" s="69">
        <v>17.25</v>
      </c>
      <c r="G18" s="70">
        <f t="shared" si="1"/>
        <v>467</v>
      </c>
      <c r="H18" s="69">
        <v>21.53</v>
      </c>
      <c r="I18" s="70">
        <f t="shared" si="2"/>
        <v>301</v>
      </c>
      <c r="J18" s="69">
        <v>2.2</v>
      </c>
      <c r="K18" s="70">
        <f t="shared" si="3"/>
        <v>179</v>
      </c>
      <c r="L18" s="69">
        <v>19.85</v>
      </c>
      <c r="M18" s="70">
        <f t="shared" si="4"/>
        <v>159</v>
      </c>
      <c r="N18" s="69">
        <v>8.31</v>
      </c>
      <c r="O18" s="70">
        <f t="shared" si="5"/>
        <v>473</v>
      </c>
      <c r="P18" s="69">
        <v>4.55</v>
      </c>
      <c r="Q18" s="70">
        <f t="shared" si="6"/>
        <v>299</v>
      </c>
      <c r="R18" s="69">
        <v>7.48</v>
      </c>
      <c r="S18" s="70">
        <f t="shared" si="7"/>
        <v>336</v>
      </c>
      <c r="T18" s="69">
        <v>1.3</v>
      </c>
      <c r="U18" s="70">
        <f t="shared" si="8"/>
        <v>250</v>
      </c>
      <c r="V18" s="71">
        <v>3</v>
      </c>
      <c r="W18" s="72">
        <v>25.73</v>
      </c>
      <c r="X18" s="70">
        <f t="shared" si="9"/>
        <v>434</v>
      </c>
      <c r="Y18" s="73">
        <f t="shared" si="10"/>
        <v>1106</v>
      </c>
      <c r="Z18" s="73">
        <f t="shared" si="11"/>
        <v>1792</v>
      </c>
      <c r="AA18" s="51"/>
      <c r="AB18" s="52"/>
      <c r="AC18" s="52"/>
      <c r="AD18" s="112" t="s">
        <v>207</v>
      </c>
      <c r="AE18" s="112" t="s">
        <v>213</v>
      </c>
      <c r="AF18" s="112" t="s">
        <v>240</v>
      </c>
    </row>
    <row r="19" spans="1:32" ht="12.75">
      <c r="A19" s="49" t="s">
        <v>34</v>
      </c>
      <c r="B19" s="54" t="s">
        <v>199</v>
      </c>
      <c r="C19" s="55">
        <v>97</v>
      </c>
      <c r="D19" s="55" t="s">
        <v>54</v>
      </c>
      <c r="E19" s="68">
        <f t="shared" si="0"/>
        <v>2638</v>
      </c>
      <c r="F19" s="69">
        <v>18.95</v>
      </c>
      <c r="G19" s="70">
        <f t="shared" si="1"/>
        <v>314</v>
      </c>
      <c r="H19" s="69">
        <v>19.92</v>
      </c>
      <c r="I19" s="70">
        <f t="shared" si="2"/>
        <v>271</v>
      </c>
      <c r="J19" s="69">
        <v>2.1</v>
      </c>
      <c r="K19" s="70">
        <f t="shared" si="3"/>
        <v>159</v>
      </c>
      <c r="L19" s="69">
        <v>27.59</v>
      </c>
      <c r="M19" s="70">
        <f t="shared" si="4"/>
        <v>265</v>
      </c>
      <c r="N19" s="69">
        <v>8.96</v>
      </c>
      <c r="O19" s="70">
        <f t="shared" si="5"/>
        <v>313</v>
      </c>
      <c r="P19" s="69">
        <v>4.42</v>
      </c>
      <c r="Q19" s="70">
        <f t="shared" si="6"/>
        <v>276</v>
      </c>
      <c r="R19" s="69">
        <v>8.52</v>
      </c>
      <c r="S19" s="70">
        <f t="shared" si="7"/>
        <v>397</v>
      </c>
      <c r="T19" s="69">
        <v>1.42</v>
      </c>
      <c r="U19" s="70">
        <f t="shared" si="8"/>
        <v>331</v>
      </c>
      <c r="V19" s="71">
        <v>3</v>
      </c>
      <c r="W19" s="72">
        <v>42.08</v>
      </c>
      <c r="X19" s="70">
        <f t="shared" si="9"/>
        <v>312</v>
      </c>
      <c r="Y19" s="73">
        <f t="shared" si="10"/>
        <v>1009</v>
      </c>
      <c r="Z19" s="73">
        <f t="shared" si="11"/>
        <v>1629</v>
      </c>
      <c r="AA19" s="54"/>
      <c r="AB19" s="55"/>
      <c r="AC19" s="55"/>
      <c r="AD19" s="112" t="s">
        <v>208</v>
      </c>
      <c r="AE19" s="112" t="s">
        <v>213</v>
      </c>
      <c r="AF19" s="112" t="s">
        <v>213</v>
      </c>
    </row>
    <row r="20" spans="1:32" ht="12.75">
      <c r="A20" s="49" t="s">
        <v>35</v>
      </c>
      <c r="B20" s="212" t="s">
        <v>204</v>
      </c>
      <c r="C20" s="214" t="s">
        <v>95</v>
      </c>
      <c r="D20" s="213" t="s">
        <v>54</v>
      </c>
      <c r="E20" s="68">
        <f t="shared" si="0"/>
        <v>2019</v>
      </c>
      <c r="F20" s="69">
        <v>21.37</v>
      </c>
      <c r="G20" s="70">
        <f t="shared" si="1"/>
        <v>145</v>
      </c>
      <c r="H20" s="69">
        <v>15.77</v>
      </c>
      <c r="I20" s="70">
        <f t="shared" si="2"/>
        <v>194</v>
      </c>
      <c r="J20" s="69">
        <v>2</v>
      </c>
      <c r="K20" s="70">
        <f t="shared" si="3"/>
        <v>140</v>
      </c>
      <c r="L20" s="69">
        <v>25.22</v>
      </c>
      <c r="M20" s="70">
        <f t="shared" si="4"/>
        <v>233</v>
      </c>
      <c r="N20" s="69">
        <v>9.37</v>
      </c>
      <c r="O20" s="70">
        <f t="shared" si="5"/>
        <v>227</v>
      </c>
      <c r="P20" s="69">
        <v>4.25</v>
      </c>
      <c r="Q20" s="70">
        <f t="shared" si="6"/>
        <v>247</v>
      </c>
      <c r="R20" s="69">
        <v>6.2</v>
      </c>
      <c r="S20" s="70">
        <f t="shared" si="7"/>
        <v>260</v>
      </c>
      <c r="T20" s="69">
        <v>1.33</v>
      </c>
      <c r="U20" s="70">
        <f t="shared" si="8"/>
        <v>270</v>
      </c>
      <c r="V20" s="71">
        <v>3</v>
      </c>
      <c r="W20" s="72">
        <v>43.41</v>
      </c>
      <c r="X20" s="70">
        <f t="shared" si="9"/>
        <v>303</v>
      </c>
      <c r="Y20" s="73">
        <f t="shared" si="10"/>
        <v>712</v>
      </c>
      <c r="Z20" s="73">
        <f t="shared" si="11"/>
        <v>1307</v>
      </c>
      <c r="AA20" s="94"/>
      <c r="AB20" s="50"/>
      <c r="AC20" s="50"/>
      <c r="AD20" s="112" t="s">
        <v>208</v>
      </c>
      <c r="AE20" s="112" t="s">
        <v>213</v>
      </c>
      <c r="AF20" s="112" t="s">
        <v>213</v>
      </c>
    </row>
    <row r="21" spans="1:32" ht="12.75">
      <c r="A21" s="49" t="s">
        <v>36</v>
      </c>
      <c r="B21" s="212" t="s">
        <v>102</v>
      </c>
      <c r="C21" s="214" t="s">
        <v>101</v>
      </c>
      <c r="D21" s="213" t="s">
        <v>80</v>
      </c>
      <c r="E21" s="68">
        <f t="shared" si="0"/>
        <v>1903</v>
      </c>
      <c r="F21" s="69">
        <v>21.02</v>
      </c>
      <c r="G21" s="70">
        <f t="shared" si="1"/>
        <v>166</v>
      </c>
      <c r="H21" s="69">
        <v>19.21</v>
      </c>
      <c r="I21" s="70">
        <f t="shared" si="2"/>
        <v>257</v>
      </c>
      <c r="J21" s="69">
        <v>0</v>
      </c>
      <c r="K21" s="70">
        <f t="shared" si="3"/>
        <v>0</v>
      </c>
      <c r="L21" s="69">
        <v>22</v>
      </c>
      <c r="M21" s="70">
        <f t="shared" si="4"/>
        <v>188</v>
      </c>
      <c r="N21" s="69">
        <v>8.84</v>
      </c>
      <c r="O21" s="70">
        <f t="shared" si="5"/>
        <v>340</v>
      </c>
      <c r="P21" s="69">
        <v>3.8</v>
      </c>
      <c r="Q21" s="70">
        <f t="shared" si="6"/>
        <v>174</v>
      </c>
      <c r="R21" s="69">
        <v>7.78</v>
      </c>
      <c r="S21" s="70">
        <f t="shared" si="7"/>
        <v>353</v>
      </c>
      <c r="T21" s="69">
        <v>1.42</v>
      </c>
      <c r="U21" s="70">
        <f t="shared" si="8"/>
        <v>331</v>
      </c>
      <c r="V21" s="71">
        <v>4</v>
      </c>
      <c r="W21" s="72">
        <v>21.89</v>
      </c>
      <c r="X21" s="70">
        <f t="shared" si="9"/>
        <v>94</v>
      </c>
      <c r="Y21" s="73">
        <f t="shared" si="10"/>
        <v>611</v>
      </c>
      <c r="Z21" s="73">
        <f t="shared" si="11"/>
        <v>1292</v>
      </c>
      <c r="AA21" s="54"/>
      <c r="AB21" s="55"/>
      <c r="AC21" s="55"/>
      <c r="AD21" s="112" t="s">
        <v>208</v>
      </c>
      <c r="AE21" s="112" t="s">
        <v>213</v>
      </c>
      <c r="AF21" s="112" t="s">
        <v>247</v>
      </c>
    </row>
    <row r="22" spans="1:32" ht="12.75">
      <c r="A22" s="49" t="s">
        <v>37</v>
      </c>
      <c r="B22" s="212" t="s">
        <v>117</v>
      </c>
      <c r="C22" s="214" t="s">
        <v>101</v>
      </c>
      <c r="D22" s="213" t="s">
        <v>54</v>
      </c>
      <c r="E22" s="68">
        <f t="shared" si="0"/>
        <v>891</v>
      </c>
      <c r="F22" s="69">
        <v>21.69</v>
      </c>
      <c r="G22" s="70">
        <f t="shared" si="1"/>
        <v>127</v>
      </c>
      <c r="H22" s="69">
        <v>0</v>
      </c>
      <c r="I22" s="70">
        <f t="shared" si="2"/>
        <v>0</v>
      </c>
      <c r="J22" s="69">
        <v>0</v>
      </c>
      <c r="K22" s="70">
        <f t="shared" si="3"/>
        <v>0</v>
      </c>
      <c r="L22" s="69">
        <v>14</v>
      </c>
      <c r="M22" s="70">
        <f t="shared" si="4"/>
        <v>82</v>
      </c>
      <c r="N22" s="69">
        <v>9.94</v>
      </c>
      <c r="O22" s="70">
        <f t="shared" si="5"/>
        <v>129</v>
      </c>
      <c r="P22" s="69">
        <v>3.58</v>
      </c>
      <c r="Q22" s="70">
        <f t="shared" si="6"/>
        <v>142</v>
      </c>
      <c r="R22" s="69">
        <v>4.32</v>
      </c>
      <c r="S22" s="70">
        <f t="shared" si="7"/>
        <v>152</v>
      </c>
      <c r="T22" s="69">
        <v>1.12</v>
      </c>
      <c r="U22" s="70">
        <f t="shared" si="8"/>
        <v>142</v>
      </c>
      <c r="V22" s="71">
        <v>4</v>
      </c>
      <c r="W22" s="72">
        <v>16.4</v>
      </c>
      <c r="X22" s="70">
        <f t="shared" si="9"/>
        <v>117</v>
      </c>
      <c r="Y22" s="73">
        <f t="shared" si="10"/>
        <v>209</v>
      </c>
      <c r="Z22" s="73">
        <f t="shared" si="11"/>
        <v>682</v>
      </c>
      <c r="AA22" s="94"/>
      <c r="AB22" s="50"/>
      <c r="AC22" s="50"/>
      <c r="AD22" s="112" t="s">
        <v>208</v>
      </c>
      <c r="AE22" s="112" t="s">
        <v>213</v>
      </c>
      <c r="AF22" s="112" t="s">
        <v>207</v>
      </c>
    </row>
    <row r="23" spans="1:32" ht="12.75">
      <c r="A23" s="49"/>
      <c r="B23" s="54" t="s">
        <v>108</v>
      </c>
      <c r="C23" s="55">
        <v>97</v>
      </c>
      <c r="D23" s="55" t="s">
        <v>80</v>
      </c>
      <c r="E23" s="68">
        <f t="shared" si="0"/>
        <v>2782</v>
      </c>
      <c r="F23" s="69">
        <v>17.73</v>
      </c>
      <c r="G23" s="70">
        <f t="shared" si="1"/>
        <v>421</v>
      </c>
      <c r="H23" s="69">
        <v>21.27</v>
      </c>
      <c r="I23" s="70">
        <f t="shared" si="2"/>
        <v>296</v>
      </c>
      <c r="J23" s="69">
        <v>2.4</v>
      </c>
      <c r="K23" s="70">
        <f t="shared" si="3"/>
        <v>220</v>
      </c>
      <c r="L23" s="69">
        <v>19.38</v>
      </c>
      <c r="M23" s="70">
        <f t="shared" si="4"/>
        <v>153</v>
      </c>
      <c r="N23" s="69">
        <v>8.21</v>
      </c>
      <c r="O23" s="70">
        <f t="shared" si="5"/>
        <v>500</v>
      </c>
      <c r="P23" s="69">
        <v>4.93</v>
      </c>
      <c r="Q23" s="70">
        <f t="shared" si="6"/>
        <v>369</v>
      </c>
      <c r="R23" s="69">
        <v>8.27</v>
      </c>
      <c r="S23" s="70">
        <f t="shared" si="7"/>
        <v>382</v>
      </c>
      <c r="T23" s="69">
        <v>1.57</v>
      </c>
      <c r="U23" s="70">
        <f t="shared" si="8"/>
        <v>441</v>
      </c>
      <c r="V23" s="71"/>
      <c r="W23" s="72" t="s">
        <v>216</v>
      </c>
      <c r="X23" s="70">
        <v>0</v>
      </c>
      <c r="Y23" s="73">
        <f t="shared" si="10"/>
        <v>1090</v>
      </c>
      <c r="Z23" s="73">
        <f t="shared" si="11"/>
        <v>1692</v>
      </c>
      <c r="AA23" s="54"/>
      <c r="AB23" s="55"/>
      <c r="AC23" s="55"/>
      <c r="AD23" s="112" t="s">
        <v>208</v>
      </c>
      <c r="AE23" s="112" t="s">
        <v>213</v>
      </c>
      <c r="AF23" s="112" t="s">
        <v>246</v>
      </c>
    </row>
    <row r="24" spans="1:32" ht="12.75">
      <c r="A24" s="49"/>
      <c r="B24" s="212" t="s">
        <v>113</v>
      </c>
      <c r="C24" s="214" t="s">
        <v>101</v>
      </c>
      <c r="D24" s="213" t="s">
        <v>104</v>
      </c>
      <c r="E24" s="68">
        <f t="shared" si="0"/>
        <v>2731</v>
      </c>
      <c r="F24" s="69">
        <v>18.17</v>
      </c>
      <c r="G24" s="70">
        <f t="shared" si="1"/>
        <v>381</v>
      </c>
      <c r="H24" s="69">
        <v>21.06</v>
      </c>
      <c r="I24" s="70">
        <f t="shared" si="2"/>
        <v>292</v>
      </c>
      <c r="J24" s="69">
        <v>2.3</v>
      </c>
      <c r="K24" s="70">
        <f t="shared" si="3"/>
        <v>199</v>
      </c>
      <c r="L24" s="69">
        <v>33.5</v>
      </c>
      <c r="M24" s="70">
        <f t="shared" si="4"/>
        <v>349</v>
      </c>
      <c r="N24" s="69">
        <v>8.36</v>
      </c>
      <c r="O24" s="70">
        <f t="shared" si="5"/>
        <v>460</v>
      </c>
      <c r="P24" s="69">
        <v>4.41</v>
      </c>
      <c r="Q24" s="70">
        <f t="shared" si="6"/>
        <v>274</v>
      </c>
      <c r="R24" s="69">
        <v>9.33</v>
      </c>
      <c r="S24" s="70">
        <f t="shared" si="7"/>
        <v>445</v>
      </c>
      <c r="T24" s="69">
        <v>1.42</v>
      </c>
      <c r="U24" s="70">
        <f t="shared" si="8"/>
        <v>331</v>
      </c>
      <c r="V24" s="71"/>
      <c r="W24" s="72" t="s">
        <v>216</v>
      </c>
      <c r="X24" s="70">
        <v>0</v>
      </c>
      <c r="Y24" s="73">
        <f t="shared" si="10"/>
        <v>1221</v>
      </c>
      <c r="Z24" s="73">
        <f t="shared" si="11"/>
        <v>1510</v>
      </c>
      <c r="AA24" s="94"/>
      <c r="AB24" s="50"/>
      <c r="AC24" s="50"/>
      <c r="AD24" s="112" t="s">
        <v>207</v>
      </c>
      <c r="AE24" s="112" t="s">
        <v>229</v>
      </c>
      <c r="AF24" s="112" t="s">
        <v>230</v>
      </c>
    </row>
    <row r="25" spans="1:32" ht="12.75">
      <c r="A25" s="49"/>
      <c r="B25" s="212" t="s">
        <v>103</v>
      </c>
      <c r="C25" s="214" t="s">
        <v>95</v>
      </c>
      <c r="D25" s="213" t="s">
        <v>104</v>
      </c>
      <c r="E25" s="68">
        <f t="shared" si="0"/>
        <v>1447</v>
      </c>
      <c r="F25" s="69">
        <v>17.07</v>
      </c>
      <c r="G25" s="70">
        <f t="shared" si="1"/>
        <v>485</v>
      </c>
      <c r="H25" s="69">
        <v>19.79</v>
      </c>
      <c r="I25" s="70">
        <f t="shared" si="2"/>
        <v>268</v>
      </c>
      <c r="J25" s="69">
        <v>2.7</v>
      </c>
      <c r="K25" s="70">
        <f t="shared" si="3"/>
        <v>286</v>
      </c>
      <c r="L25" s="69">
        <v>37.62</v>
      </c>
      <c r="M25" s="70">
        <f t="shared" si="4"/>
        <v>408</v>
      </c>
      <c r="N25" s="69" t="s">
        <v>216</v>
      </c>
      <c r="O25" s="70">
        <v>0</v>
      </c>
      <c r="P25" s="69"/>
      <c r="Q25" s="70">
        <f t="shared" si="6"/>
        <v>0</v>
      </c>
      <c r="R25" s="69"/>
      <c r="S25" s="70">
        <f t="shared" si="7"/>
        <v>0</v>
      </c>
      <c r="T25" s="69"/>
      <c r="U25" s="70">
        <f t="shared" si="8"/>
        <v>0</v>
      </c>
      <c r="V25" s="71"/>
      <c r="W25" s="72"/>
      <c r="X25" s="70">
        <f>IF(V25+W25&lt;&gt;0,INT(0.08713*(305.5-((V25*60)+W25))^1.85),0)</f>
        <v>0</v>
      </c>
      <c r="Y25" s="73">
        <f t="shared" si="10"/>
        <v>1447</v>
      </c>
      <c r="Z25" s="73">
        <f t="shared" si="11"/>
        <v>0</v>
      </c>
      <c r="AA25" s="54"/>
      <c r="AB25" s="55"/>
      <c r="AC25" s="55"/>
      <c r="AD25" s="112" t="s">
        <v>207</v>
      </c>
      <c r="AE25" s="112"/>
      <c r="AF25" s="112"/>
    </row>
    <row r="26" spans="1:32" ht="12.75">
      <c r="A26" s="49"/>
      <c r="B26" s="212" t="s">
        <v>94</v>
      </c>
      <c r="C26" s="214" t="s">
        <v>95</v>
      </c>
      <c r="D26" s="213" t="s">
        <v>89</v>
      </c>
      <c r="E26" s="68">
        <f t="shared" si="0"/>
        <v>1413</v>
      </c>
      <c r="F26" s="69">
        <v>15.13</v>
      </c>
      <c r="G26" s="70">
        <f t="shared" si="1"/>
        <v>696</v>
      </c>
      <c r="H26" s="69">
        <v>20.6</v>
      </c>
      <c r="I26" s="70">
        <f t="shared" si="2"/>
        <v>283</v>
      </c>
      <c r="J26" s="69">
        <v>2.2</v>
      </c>
      <c r="K26" s="70">
        <f t="shared" si="3"/>
        <v>179</v>
      </c>
      <c r="L26" s="69">
        <v>26.85</v>
      </c>
      <c r="M26" s="70">
        <f t="shared" si="4"/>
        <v>255</v>
      </c>
      <c r="N26" s="69" t="s">
        <v>216</v>
      </c>
      <c r="O26" s="70">
        <v>0</v>
      </c>
      <c r="P26" s="69"/>
      <c r="Q26" s="70">
        <f t="shared" si="6"/>
        <v>0</v>
      </c>
      <c r="R26" s="69"/>
      <c r="S26" s="70">
        <f t="shared" si="7"/>
        <v>0</v>
      </c>
      <c r="T26" s="69"/>
      <c r="U26" s="70">
        <f t="shared" si="8"/>
        <v>0</v>
      </c>
      <c r="V26" s="71"/>
      <c r="W26" s="72"/>
      <c r="X26" s="70">
        <f>IF(V26+W26&lt;&gt;0,INT(0.08713*(305.5-((V26*60)+W26))^1.85),0)</f>
        <v>0</v>
      </c>
      <c r="Y26" s="73">
        <f t="shared" si="10"/>
        <v>1413</v>
      </c>
      <c r="Z26" s="73">
        <f t="shared" si="11"/>
        <v>0</v>
      </c>
      <c r="AA26" s="54"/>
      <c r="AB26" s="55"/>
      <c r="AC26" s="55"/>
      <c r="AD26" s="112" t="s">
        <v>207</v>
      </c>
      <c r="AE26" s="112"/>
      <c r="AF26" s="112"/>
    </row>
    <row r="27" spans="1:32" ht="12.75">
      <c r="A27" s="145"/>
      <c r="B27" s="215"/>
      <c r="C27" s="218"/>
      <c r="D27" s="216"/>
      <c r="E27" s="220"/>
      <c r="F27" s="148"/>
      <c r="G27" s="149"/>
      <c r="H27" s="148"/>
      <c r="I27" s="149"/>
      <c r="J27" s="148"/>
      <c r="K27" s="149"/>
      <c r="L27" s="148"/>
      <c r="M27" s="149"/>
      <c r="N27" s="148"/>
      <c r="O27" s="149"/>
      <c r="P27" s="148"/>
      <c r="Q27" s="149"/>
      <c r="R27" s="148"/>
      <c r="S27" s="149"/>
      <c r="T27" s="148"/>
      <c r="U27" s="149"/>
      <c r="V27" s="149"/>
      <c r="W27" s="148"/>
      <c r="X27" s="149"/>
      <c r="Y27" s="150"/>
      <c r="Z27" s="150"/>
      <c r="AA27" s="32"/>
      <c r="AB27" s="30"/>
      <c r="AC27" s="30"/>
      <c r="AD27" s="113"/>
      <c r="AE27" s="113"/>
      <c r="AF27" s="113"/>
    </row>
    <row r="28" spans="1:32" ht="12.75">
      <c r="A28" s="145"/>
      <c r="B28" s="215"/>
      <c r="C28" s="218"/>
      <c r="D28" s="216"/>
      <c r="E28" s="220"/>
      <c r="F28" s="148"/>
      <c r="G28" s="149"/>
      <c r="H28" s="148"/>
      <c r="I28" s="149"/>
      <c r="J28" s="148"/>
      <c r="K28" s="149"/>
      <c r="L28" s="148"/>
      <c r="M28" s="149"/>
      <c r="N28" s="148"/>
      <c r="O28" s="149"/>
      <c r="P28" s="148"/>
      <c r="Q28" s="149"/>
      <c r="R28" s="148"/>
      <c r="S28" s="149"/>
      <c r="T28" s="148"/>
      <c r="U28" s="149"/>
      <c r="V28" s="149"/>
      <c r="W28" s="219"/>
      <c r="X28" s="149"/>
      <c r="Y28" s="150"/>
      <c r="Z28" s="150"/>
      <c r="AA28" s="32"/>
      <c r="AB28" s="30"/>
      <c r="AC28" s="47"/>
      <c r="AD28" s="113"/>
      <c r="AE28" s="113"/>
      <c r="AF28" s="113"/>
    </row>
    <row r="29" spans="1:32" ht="12.75">
      <c r="A29" s="145"/>
      <c r="B29" s="32"/>
      <c r="C29" s="216"/>
      <c r="D29" s="216"/>
      <c r="E29" s="220"/>
      <c r="F29" s="148"/>
      <c r="G29" s="149"/>
      <c r="H29" s="148"/>
      <c r="I29" s="149"/>
      <c r="J29" s="148"/>
      <c r="K29" s="149"/>
      <c r="L29" s="148"/>
      <c r="M29" s="149"/>
      <c r="N29" s="148"/>
      <c r="O29" s="149"/>
      <c r="P29" s="148"/>
      <c r="Q29" s="149"/>
      <c r="R29" s="148"/>
      <c r="S29" s="149"/>
      <c r="T29" s="148"/>
      <c r="U29" s="149"/>
      <c r="V29" s="149"/>
      <c r="W29" s="148"/>
      <c r="X29" s="149"/>
      <c r="Y29" s="150"/>
      <c r="Z29" s="150"/>
      <c r="AA29" s="32"/>
      <c r="AB29" s="216"/>
      <c r="AC29" s="216"/>
      <c r="AD29" s="113"/>
      <c r="AE29" s="113"/>
      <c r="AF29" s="113"/>
    </row>
    <row r="30" spans="1:32" ht="12.75">
      <c r="A30" s="145"/>
      <c r="B30" s="32"/>
      <c r="C30" s="30"/>
      <c r="D30" s="30"/>
      <c r="E30" s="220"/>
      <c r="F30" s="148"/>
      <c r="G30" s="149"/>
      <c r="H30" s="148"/>
      <c r="I30" s="149"/>
      <c r="J30" s="148"/>
      <c r="K30" s="149"/>
      <c r="L30" s="148"/>
      <c r="M30" s="149"/>
      <c r="N30" s="148"/>
      <c r="O30" s="149"/>
      <c r="P30" s="148"/>
      <c r="Q30" s="149"/>
      <c r="R30" s="148"/>
      <c r="S30" s="149"/>
      <c r="T30" s="148"/>
      <c r="U30" s="149"/>
      <c r="V30" s="149"/>
      <c r="W30" s="148"/>
      <c r="X30" s="149"/>
      <c r="Y30" s="150"/>
      <c r="Z30" s="150"/>
      <c r="AA30" s="32"/>
      <c r="AB30" s="30"/>
      <c r="AC30" s="30"/>
      <c r="AD30" s="113"/>
      <c r="AE30" s="113"/>
      <c r="AF30" s="113"/>
    </row>
    <row r="31" spans="1:32" ht="12.75">
      <c r="A31" s="145"/>
      <c r="B31" s="32"/>
      <c r="C31" s="30"/>
      <c r="D31" s="30"/>
      <c r="E31" s="220"/>
      <c r="F31" s="146"/>
      <c r="G31" s="149"/>
      <c r="H31" s="148"/>
      <c r="I31" s="149"/>
      <c r="J31" s="148"/>
      <c r="K31" s="149"/>
      <c r="L31" s="148"/>
      <c r="M31" s="149"/>
      <c r="N31" s="148"/>
      <c r="O31" s="149"/>
      <c r="P31" s="148"/>
      <c r="Q31" s="149"/>
      <c r="R31" s="148"/>
      <c r="S31" s="149"/>
      <c r="T31" s="148"/>
      <c r="U31" s="149"/>
      <c r="V31" s="149"/>
      <c r="W31" s="148"/>
      <c r="X31" s="149"/>
      <c r="Y31" s="150"/>
      <c r="Z31" s="150"/>
      <c r="AA31" s="32"/>
      <c r="AB31" s="30"/>
      <c r="AC31" s="30"/>
      <c r="AD31" s="113"/>
      <c r="AE31" s="113"/>
      <c r="AF31" s="113"/>
    </row>
    <row r="32" spans="1:32" ht="12.75">
      <c r="A32" s="145"/>
      <c r="B32" s="32"/>
      <c r="C32" s="30"/>
      <c r="D32" s="30"/>
      <c r="E32" s="220"/>
      <c r="F32" s="148"/>
      <c r="G32" s="149"/>
      <c r="H32" s="148"/>
      <c r="I32" s="149"/>
      <c r="J32" s="148"/>
      <c r="K32" s="149"/>
      <c r="L32" s="148"/>
      <c r="M32" s="149"/>
      <c r="N32" s="148"/>
      <c r="O32" s="149"/>
      <c r="P32" s="148"/>
      <c r="Q32" s="149"/>
      <c r="R32" s="148"/>
      <c r="S32" s="149"/>
      <c r="T32" s="148"/>
      <c r="U32" s="149"/>
      <c r="V32" s="149"/>
      <c r="W32" s="148"/>
      <c r="X32" s="149"/>
      <c r="Y32" s="150"/>
      <c r="Z32" s="150"/>
      <c r="AA32" s="32"/>
      <c r="AB32" s="30"/>
      <c r="AC32" s="30"/>
      <c r="AD32" s="113"/>
      <c r="AE32" s="113"/>
      <c r="AF32" s="113"/>
    </row>
    <row r="36" spans="1:32" ht="12.75">
      <c r="A36" s="145"/>
      <c r="B36" s="32"/>
      <c r="C36" s="30"/>
      <c r="D36" s="30"/>
      <c r="E36" s="220"/>
      <c r="F36" s="148"/>
      <c r="G36" s="149"/>
      <c r="H36" s="148"/>
      <c r="I36" s="149"/>
      <c r="J36" s="148"/>
      <c r="K36" s="149"/>
      <c r="L36" s="148"/>
      <c r="M36" s="149"/>
      <c r="N36" s="148"/>
      <c r="O36" s="149"/>
      <c r="P36" s="148"/>
      <c r="Q36" s="149"/>
      <c r="R36" s="148"/>
      <c r="S36" s="149"/>
      <c r="T36" s="148"/>
      <c r="U36" s="149"/>
      <c r="V36" s="149"/>
      <c r="W36" s="148"/>
      <c r="X36" s="149"/>
      <c r="Y36" s="150"/>
      <c r="Z36" s="150"/>
      <c r="AA36" s="32"/>
      <c r="AB36" s="30"/>
      <c r="AC36" s="30"/>
      <c r="AD36" s="113"/>
      <c r="AE36" s="113"/>
      <c r="AF36" s="113"/>
    </row>
    <row r="37" spans="1:32" ht="12.75">
      <c r="A37" s="27" t="s">
        <v>52</v>
      </c>
      <c r="AA37" s="155"/>
      <c r="AB37" s="156"/>
      <c r="AC37" s="156"/>
      <c r="AD37" s="157"/>
      <c r="AE37" s="157"/>
      <c r="AF37" s="157"/>
    </row>
    <row r="38" spans="1:32" ht="12.75">
      <c r="A38" s="49" t="s">
        <v>58</v>
      </c>
      <c r="B38" s="95"/>
      <c r="C38" s="96"/>
      <c r="D38" s="50"/>
      <c r="E38" s="68">
        <f>G38+I38+K38+M38+O38+Q38+S38+U38+X38</f>
        <v>0</v>
      </c>
      <c r="F38" s="69"/>
      <c r="G38" s="70">
        <f>IF(F38&lt;&gt;0,INT(8.73753*(26-F38)^1.835),0)</f>
        <v>0</v>
      </c>
      <c r="H38" s="69"/>
      <c r="I38" s="70">
        <f>IF(H38&lt;&gt;0,INT(12.91*(H38-4)^1.1),0)</f>
        <v>0</v>
      </c>
      <c r="J38" s="69"/>
      <c r="K38" s="70">
        <f>IF(J38&lt;&gt;0,INT(0.2797*((J38*100)-100)^1.35),0)</f>
        <v>0</v>
      </c>
      <c r="L38" s="69"/>
      <c r="M38" s="70">
        <v>0</v>
      </c>
      <c r="N38" s="69"/>
      <c r="O38" s="70">
        <f>IF(N38&lt;&gt;0,INT(58.015*(11.5-N38)^1.81),0)</f>
        <v>0</v>
      </c>
      <c r="P38" s="69"/>
      <c r="Q38" s="70">
        <f>IF(P38&lt;&gt;0,INT(0.14354*((P38*100)-220)^1.4),0)</f>
        <v>0</v>
      </c>
      <c r="R38" s="69"/>
      <c r="S38" s="70">
        <f>IF(R38&lt;&gt;0,INT(51.39*(R38-1.5)^1.05),0)</f>
        <v>0</v>
      </c>
      <c r="T38" s="69"/>
      <c r="U38" s="70">
        <f>IF(T38&lt;&gt;0,INT(0.8465*((T38*100)-75)^1.42),0)</f>
        <v>0</v>
      </c>
      <c r="V38" s="71"/>
      <c r="W38" s="72"/>
      <c r="X38" s="70">
        <f>IF(V38+W38&lt;&gt;0,INT(0.08713*(305.5-((V38*60)+W38))^1.85),0)</f>
        <v>0</v>
      </c>
      <c r="Y38" s="73">
        <f>G38+I38+K38+M38</f>
        <v>0</v>
      </c>
      <c r="Z38" s="73">
        <f>O38+Q38+S38+U38+X38</f>
        <v>0</v>
      </c>
      <c r="AA38" s="151"/>
      <c r="AB38" s="152"/>
      <c r="AC38" s="153"/>
      <c r="AD38" s="154"/>
      <c r="AE38" s="154"/>
      <c r="AF38" s="154"/>
    </row>
    <row r="39" spans="1:32" ht="12.75">
      <c r="A39" s="49" t="s">
        <v>58</v>
      </c>
      <c r="B39" s="95"/>
      <c r="C39" s="96"/>
      <c r="D39" s="50"/>
      <c r="E39" s="68">
        <f>G39+I39+K39+M39+O39+Q39+S39+U39+X39</f>
        <v>0</v>
      </c>
      <c r="F39" s="69"/>
      <c r="G39" s="70">
        <f>IF(F39&lt;&gt;0,INT(8.73753*(26-F39)^1.835),0)</f>
        <v>0</v>
      </c>
      <c r="H39" s="69"/>
      <c r="I39" s="70">
        <f>IF(H39&lt;&gt;0,INT(12.91*(H39-4)^1.1),0)</f>
        <v>0</v>
      </c>
      <c r="J39" s="69"/>
      <c r="K39" s="70">
        <f>IF(J39&lt;&gt;0,INT(0.2797*((J39*100)-100)^1.35),0)</f>
        <v>0</v>
      </c>
      <c r="L39" s="69"/>
      <c r="M39" s="70">
        <v>0</v>
      </c>
      <c r="N39" s="69"/>
      <c r="O39" s="70">
        <f>IF(N39&lt;&gt;0,INT(58.015*(11.5-N39)^1.81),0)</f>
        <v>0</v>
      </c>
      <c r="P39" s="69"/>
      <c r="Q39" s="70">
        <f>IF(P39&lt;&gt;0,INT(0.14354*((P39*100)-220)^1.4),0)</f>
        <v>0</v>
      </c>
      <c r="R39" s="69"/>
      <c r="S39" s="70">
        <f>IF(R39&lt;&gt;0,INT(51.39*(R39-1.5)^1.05),0)</f>
        <v>0</v>
      </c>
      <c r="T39" s="69"/>
      <c r="U39" s="70">
        <f>IF(T39&lt;&gt;0,INT(0.8465*((T39*100)-75)^1.42),0)</f>
        <v>0</v>
      </c>
      <c r="V39" s="71"/>
      <c r="W39" s="72"/>
      <c r="X39" s="70">
        <f>IF(V39+W39&lt;&gt;0,INT(0.08713*(305.5-((V39*60)+W39))^1.85),0)</f>
        <v>0</v>
      </c>
      <c r="Y39" s="73">
        <f>G39+I39+K39+M39</f>
        <v>0</v>
      </c>
      <c r="Z39" s="73">
        <f>O39+Q39+S39+U39+X39</f>
        <v>0</v>
      </c>
      <c r="AA39" s="54"/>
      <c r="AB39" s="55"/>
      <c r="AC39" s="55"/>
      <c r="AD39" s="112"/>
      <c r="AE39" s="112"/>
      <c r="AF39" s="112"/>
    </row>
    <row r="40" spans="1:32" ht="12.75">
      <c r="A40" s="145"/>
      <c r="B40" s="32"/>
      <c r="C40" s="30"/>
      <c r="D40" s="30"/>
      <c r="E40" s="220"/>
      <c r="F40" s="148"/>
      <c r="G40" s="149"/>
      <c r="H40" s="148"/>
      <c r="I40" s="149"/>
      <c r="J40" s="148"/>
      <c r="K40" s="149"/>
      <c r="L40" s="148"/>
      <c r="M40" s="149"/>
      <c r="N40" s="148"/>
      <c r="O40" s="149"/>
      <c r="P40" s="148"/>
      <c r="Q40" s="149"/>
      <c r="R40" s="148"/>
      <c r="S40" s="149"/>
      <c r="T40" s="148"/>
      <c r="U40" s="149"/>
      <c r="V40" s="149"/>
      <c r="W40" s="148"/>
      <c r="X40" s="149"/>
      <c r="Y40" s="150"/>
      <c r="Z40" s="150"/>
      <c r="AA40" s="32"/>
      <c r="AB40" s="30"/>
      <c r="AC40" s="30"/>
      <c r="AD40" s="113"/>
      <c r="AE40" s="113"/>
      <c r="AF40" s="113"/>
    </row>
    <row r="41" spans="1:32" ht="12.75">
      <c r="A41" s="145"/>
      <c r="B41" s="32"/>
      <c r="C41" s="30"/>
      <c r="D41" s="30"/>
      <c r="E41" s="220"/>
      <c r="F41" s="148"/>
      <c r="G41" s="149"/>
      <c r="H41" s="148"/>
      <c r="I41" s="149"/>
      <c r="J41" s="148"/>
      <c r="K41" s="149"/>
      <c r="L41" s="148"/>
      <c r="M41" s="149"/>
      <c r="N41" s="148"/>
      <c r="O41" s="149"/>
      <c r="P41" s="148"/>
      <c r="Q41" s="149"/>
      <c r="R41" s="148"/>
      <c r="S41" s="149"/>
      <c r="T41" s="148"/>
      <c r="U41" s="149"/>
      <c r="V41" s="149"/>
      <c r="W41" s="148"/>
      <c r="X41" s="149"/>
      <c r="Y41" s="150"/>
      <c r="Z41" s="150"/>
      <c r="AA41" s="32"/>
      <c r="AB41" s="30"/>
      <c r="AC41" s="30"/>
      <c r="AD41" s="113"/>
      <c r="AE41" s="113"/>
      <c r="AF41" s="113"/>
    </row>
    <row r="42" spans="1:32" ht="12.75">
      <c r="A42" s="145"/>
      <c r="B42" s="32"/>
      <c r="C42" s="30"/>
      <c r="D42" s="30"/>
      <c r="E42" s="220"/>
      <c r="F42" s="148"/>
      <c r="G42" s="149"/>
      <c r="H42" s="148"/>
      <c r="I42" s="149"/>
      <c r="J42" s="148"/>
      <c r="K42" s="149"/>
      <c r="L42" s="148"/>
      <c r="M42" s="149"/>
      <c r="N42" s="148"/>
      <c r="O42" s="149"/>
      <c r="P42" s="148"/>
      <c r="Q42" s="149"/>
      <c r="R42" s="148"/>
      <c r="S42" s="149"/>
      <c r="T42" s="148"/>
      <c r="U42" s="149"/>
      <c r="V42" s="149"/>
      <c r="W42" s="148"/>
      <c r="X42" s="149"/>
      <c r="Y42" s="150"/>
      <c r="Z42" s="150"/>
      <c r="AA42" s="32"/>
      <c r="AB42" s="30"/>
      <c r="AC42" s="30"/>
      <c r="AD42" s="113"/>
      <c r="AE42" s="113"/>
      <c r="AF42" s="113"/>
    </row>
    <row r="43" spans="1:32" ht="12.75">
      <c r="A43" s="145"/>
      <c r="B43" s="32"/>
      <c r="C43" s="30"/>
      <c r="D43" s="30"/>
      <c r="E43" s="220"/>
      <c r="F43" s="148"/>
      <c r="G43" s="149"/>
      <c r="H43" s="148"/>
      <c r="I43" s="149"/>
      <c r="J43" s="148"/>
      <c r="K43" s="149"/>
      <c r="L43" s="148"/>
      <c r="M43" s="149"/>
      <c r="N43" s="148"/>
      <c r="O43" s="149"/>
      <c r="P43" s="148"/>
      <c r="Q43" s="149"/>
      <c r="R43" s="148"/>
      <c r="S43" s="149"/>
      <c r="T43" s="148"/>
      <c r="U43" s="149"/>
      <c r="V43" s="149"/>
      <c r="W43" s="148"/>
      <c r="X43" s="149"/>
      <c r="Y43" s="150"/>
      <c r="Z43" s="150"/>
      <c r="AA43" s="32"/>
      <c r="AB43" s="30"/>
      <c r="AC43" s="30"/>
      <c r="AD43" s="113"/>
      <c r="AE43" s="113"/>
      <c r="AF43" s="113"/>
    </row>
    <row r="44" spans="1:32" ht="12.75">
      <c r="A44" s="145"/>
      <c r="B44" s="32"/>
      <c r="C44" s="216"/>
      <c r="D44" s="216"/>
      <c r="E44" s="220"/>
      <c r="F44" s="148"/>
      <c r="G44" s="149"/>
      <c r="H44" s="148"/>
      <c r="I44" s="149"/>
      <c r="J44" s="148"/>
      <c r="K44" s="149"/>
      <c r="L44" s="148"/>
      <c r="M44" s="149"/>
      <c r="N44" s="148"/>
      <c r="O44" s="149"/>
      <c r="P44" s="148"/>
      <c r="Q44" s="149"/>
      <c r="R44" s="148"/>
      <c r="S44" s="149"/>
      <c r="T44" s="148"/>
      <c r="U44" s="149"/>
      <c r="V44" s="149"/>
      <c r="W44" s="148"/>
      <c r="X44" s="149"/>
      <c r="Y44" s="150"/>
      <c r="Z44" s="150"/>
      <c r="AA44" s="32"/>
      <c r="AB44" s="216"/>
      <c r="AC44" s="216"/>
      <c r="AD44" s="113"/>
      <c r="AE44" s="113"/>
      <c r="AF44" s="113"/>
    </row>
    <row r="45" spans="1:32" ht="12.75">
      <c r="A45" s="145"/>
      <c r="B45" s="32"/>
      <c r="C45" s="216"/>
      <c r="D45" s="216"/>
      <c r="E45" s="220"/>
      <c r="F45" s="148"/>
      <c r="G45" s="149"/>
      <c r="H45" s="148"/>
      <c r="I45" s="149"/>
      <c r="J45" s="148"/>
      <c r="K45" s="149"/>
      <c r="L45" s="148"/>
      <c r="M45" s="149"/>
      <c r="N45" s="148"/>
      <c r="O45" s="149"/>
      <c r="P45" s="148"/>
      <c r="Q45" s="149"/>
      <c r="R45" s="148"/>
      <c r="S45" s="149"/>
      <c r="T45" s="148"/>
      <c r="U45" s="149"/>
      <c r="V45" s="149"/>
      <c r="W45" s="148"/>
      <c r="X45" s="149"/>
      <c r="Y45" s="150"/>
      <c r="Z45" s="150"/>
      <c r="AA45" s="32"/>
      <c r="AB45" s="216"/>
      <c r="AC45" s="216"/>
      <c r="AD45" s="113"/>
      <c r="AE45" s="113"/>
      <c r="AF45" s="113"/>
    </row>
    <row r="46" spans="1:32" ht="12.75">
      <c r="A46" s="145"/>
      <c r="B46" s="215"/>
      <c r="C46" s="218"/>
      <c r="D46" s="216"/>
      <c r="E46" s="145"/>
      <c r="F46" s="147"/>
      <c r="G46" s="216"/>
      <c r="H46" s="147"/>
      <c r="I46" s="216"/>
      <c r="J46" s="147"/>
      <c r="K46" s="216"/>
      <c r="L46" s="147"/>
      <c r="M46" s="216"/>
      <c r="N46" s="147"/>
      <c r="O46" s="216"/>
      <c r="P46" s="147"/>
      <c r="Q46" s="216"/>
      <c r="R46" s="147"/>
      <c r="S46" s="216"/>
      <c r="T46" s="147"/>
      <c r="U46" s="216"/>
      <c r="V46" s="216"/>
      <c r="W46" s="147"/>
      <c r="X46" s="216"/>
      <c r="Y46" s="221"/>
      <c r="Z46" s="221"/>
      <c r="AA46" s="32"/>
      <c r="AB46" s="216"/>
      <c r="AC46" s="216"/>
      <c r="AD46" s="113"/>
      <c r="AE46" s="113"/>
      <c r="AF46" s="113"/>
    </row>
    <row r="47" spans="1:32" ht="12.75">
      <c r="A47" s="222"/>
      <c r="B47" s="215"/>
      <c r="C47" s="218"/>
      <c r="D47" s="216"/>
      <c r="E47" s="222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32"/>
      <c r="AB47" s="216"/>
      <c r="AC47" s="216"/>
      <c r="AD47" s="113"/>
      <c r="AE47" s="113"/>
      <c r="AF47" s="113"/>
    </row>
    <row r="48" spans="1:32" ht="12.75">
      <c r="A48" s="145"/>
      <c r="B48" s="215"/>
      <c r="C48" s="218"/>
      <c r="D48" s="216"/>
      <c r="E48" s="220"/>
      <c r="F48" s="148"/>
      <c r="G48" s="149"/>
      <c r="H48" s="148"/>
      <c r="I48" s="149"/>
      <c r="J48" s="148"/>
      <c r="K48" s="149"/>
      <c r="L48" s="148"/>
      <c r="M48" s="149"/>
      <c r="N48" s="148"/>
      <c r="O48" s="149"/>
      <c r="P48" s="148"/>
      <c r="Q48" s="149"/>
      <c r="R48" s="148"/>
      <c r="S48" s="149"/>
      <c r="T48" s="148"/>
      <c r="U48" s="149"/>
      <c r="V48" s="149"/>
      <c r="W48" s="148"/>
      <c r="X48" s="149"/>
      <c r="Y48" s="150"/>
      <c r="Z48" s="150"/>
      <c r="AA48" s="139"/>
      <c r="AB48" s="140"/>
      <c r="AC48" s="140"/>
      <c r="AD48" s="113"/>
      <c r="AE48" s="113"/>
      <c r="AF48" s="113"/>
    </row>
    <row r="49" spans="1:32" ht="12.75">
      <c r="A49" s="145"/>
      <c r="B49" s="215"/>
      <c r="C49" s="218"/>
      <c r="D49" s="216"/>
      <c r="E49" s="220"/>
      <c r="F49" s="148"/>
      <c r="G49" s="149"/>
      <c r="H49" s="148"/>
      <c r="I49" s="149"/>
      <c r="J49" s="148"/>
      <c r="K49" s="149"/>
      <c r="L49" s="148"/>
      <c r="M49" s="149"/>
      <c r="N49" s="148"/>
      <c r="O49" s="149"/>
      <c r="P49" s="148"/>
      <c r="Q49" s="149"/>
      <c r="R49" s="148"/>
      <c r="S49" s="149"/>
      <c r="T49" s="148"/>
      <c r="U49" s="149"/>
      <c r="V49" s="149"/>
      <c r="W49" s="148"/>
      <c r="X49" s="149"/>
      <c r="Y49" s="150"/>
      <c r="Z49" s="150"/>
      <c r="AA49" s="32"/>
      <c r="AB49" s="30"/>
      <c r="AC49" s="30"/>
      <c r="AD49" s="113"/>
      <c r="AE49" s="113"/>
      <c r="AF49" s="113"/>
    </row>
  </sheetData>
  <sheetProtection/>
  <mergeCells count="2">
    <mergeCell ref="V3:W3"/>
    <mergeCell ref="A1:Z1"/>
  </mergeCells>
  <printOptions horizontalCentered="1"/>
  <pageMargins left="0.5511811023622047" right="0.5905511811023623" top="0.6692913385826772" bottom="0.6692913385826772" header="0.31496062992125984" footer="0.35433070866141736"/>
  <pageSetup horizontalDpi="300" verticalDpi="300" orientation="landscape" paperSize="9" r:id="rId1"/>
  <headerFooter alignWithMargins="0">
    <oddHeader>&amp;LMistrovství Moravy a Slezska ve vícebojích&amp;C17. ročník Třineckých atletických vícebojů&amp;RTřinec 9.-10.6.2012</oddHeader>
    <oddFooter>&amp;LHlavní rozhodčí: Krzystek Jiří&amp;RŘeditel závodu: Szmeková Emilie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showGridLines="0" zoomScalePageLayoutView="0" workbookViewId="0" topLeftCell="A1">
      <pane xSplit="5" ySplit="4" topLeftCell="F5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P17" sqref="P17"/>
    </sheetView>
  </sheetViews>
  <sheetFormatPr defaultColWidth="9.00390625" defaultRowHeight="12.75"/>
  <cols>
    <col min="1" max="1" width="4.625" style="0" bestFit="1" customWidth="1"/>
    <col min="2" max="2" width="18.75390625" style="0" customWidth="1"/>
    <col min="3" max="3" width="3.75390625" style="0" customWidth="1"/>
    <col min="4" max="4" width="7.75390625" style="3" bestFit="1" customWidth="1"/>
    <col min="5" max="5" width="7.625" style="4" customWidth="1"/>
    <col min="6" max="6" width="5.625" style="2" bestFit="1" customWidth="1"/>
    <col min="7" max="7" width="5.375" style="3" bestFit="1" customWidth="1"/>
    <col min="8" max="8" width="6.625" style="2" bestFit="1" customWidth="1"/>
    <col min="9" max="9" width="5.375" style="3" bestFit="1" customWidth="1"/>
    <col min="10" max="10" width="6.625" style="2" bestFit="1" customWidth="1"/>
    <col min="11" max="11" width="5.375" style="3" bestFit="1" customWidth="1"/>
    <col min="12" max="12" width="5.75390625" style="2" bestFit="1" customWidth="1"/>
    <col min="13" max="13" width="5.375" style="3" bestFit="1" customWidth="1"/>
    <col min="14" max="14" width="5.75390625" style="2" customWidth="1"/>
    <col min="15" max="15" width="5.375" style="3" bestFit="1" customWidth="1"/>
    <col min="16" max="16" width="5.875" style="2" bestFit="1" customWidth="1"/>
    <col min="17" max="17" width="5.375" style="3" bestFit="1" customWidth="1"/>
    <col min="18" max="18" width="3.00390625" style="4" bestFit="1" customWidth="1"/>
    <col min="19" max="19" width="5.625" style="2" bestFit="1" customWidth="1"/>
    <col min="20" max="20" width="5.375" style="3" bestFit="1" customWidth="1"/>
    <col min="21" max="22" width="6.00390625" style="0" bestFit="1" customWidth="1"/>
    <col min="23" max="23" width="18.75390625" style="0" customWidth="1"/>
    <col min="24" max="24" width="3.75390625" style="0" customWidth="1"/>
    <col min="25" max="25" width="7.75390625" style="0" customWidth="1"/>
    <col min="26" max="28" width="6.75390625" style="0" customWidth="1"/>
  </cols>
  <sheetData>
    <row r="1" spans="1:28" ht="20.25">
      <c r="A1" s="286" t="s">
        <v>17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110" t="s">
        <v>62</v>
      </c>
      <c r="X1" s="77"/>
      <c r="Y1" s="77"/>
      <c r="Z1" s="77"/>
      <c r="AA1" s="77"/>
      <c r="AB1" s="77"/>
    </row>
    <row r="2" spans="23:28" ht="13.5" customHeight="1" thickBot="1">
      <c r="W2" s="47"/>
      <c r="X2" s="77"/>
      <c r="Y2" s="77"/>
      <c r="Z2" s="77"/>
      <c r="AA2" s="77"/>
      <c r="AB2" s="77"/>
    </row>
    <row r="3" spans="1:28" ht="66" customHeight="1" thickBot="1">
      <c r="A3" s="92" t="s">
        <v>9</v>
      </c>
      <c r="B3" s="93" t="s">
        <v>8</v>
      </c>
      <c r="C3" s="87" t="s">
        <v>42</v>
      </c>
      <c r="D3" s="93" t="s">
        <v>43</v>
      </c>
      <c r="E3" s="85" t="s">
        <v>12</v>
      </c>
      <c r="F3" s="86" t="s">
        <v>48</v>
      </c>
      <c r="G3" s="87" t="s">
        <v>10</v>
      </c>
      <c r="H3" s="86" t="s">
        <v>3</v>
      </c>
      <c r="I3" s="87" t="s">
        <v>10</v>
      </c>
      <c r="J3" s="86" t="s">
        <v>1</v>
      </c>
      <c r="K3" s="87" t="s">
        <v>10</v>
      </c>
      <c r="L3" s="86" t="s">
        <v>51</v>
      </c>
      <c r="M3" s="87" t="s">
        <v>10</v>
      </c>
      <c r="N3" s="86" t="s">
        <v>2</v>
      </c>
      <c r="O3" s="87" t="s">
        <v>10</v>
      </c>
      <c r="P3" s="86" t="s">
        <v>6</v>
      </c>
      <c r="Q3" s="87" t="s">
        <v>10</v>
      </c>
      <c r="R3" s="289" t="s">
        <v>29</v>
      </c>
      <c r="S3" s="290"/>
      <c r="T3" s="87" t="s">
        <v>10</v>
      </c>
      <c r="U3" s="87" t="s">
        <v>7</v>
      </c>
      <c r="V3" s="88" t="s">
        <v>11</v>
      </c>
      <c r="W3" s="11" t="s">
        <v>8</v>
      </c>
      <c r="X3" s="125" t="s">
        <v>42</v>
      </c>
      <c r="Y3" s="11" t="s">
        <v>43</v>
      </c>
      <c r="Z3" s="109" t="s">
        <v>63</v>
      </c>
      <c r="AA3" s="109" t="s">
        <v>66</v>
      </c>
      <c r="AB3" s="109" t="s">
        <v>60</v>
      </c>
    </row>
    <row r="4" spans="1:22" ht="0.75" customHeight="1">
      <c r="A4" s="16"/>
      <c r="B4" s="17"/>
      <c r="C4" s="18"/>
      <c r="D4" s="18"/>
      <c r="E4" s="89">
        <f aca="true" t="shared" si="0" ref="E4:E28">G4+I4+K4+M4+O4+Q4+T4</f>
        <v>2698</v>
      </c>
      <c r="F4" s="19">
        <v>14.74</v>
      </c>
      <c r="G4" s="18">
        <f>IF(F4&lt;&gt;0,INT(12.2092*(22-F4)^1.835),0)</f>
        <v>463</v>
      </c>
      <c r="H4" s="19">
        <v>1.3</v>
      </c>
      <c r="I4" s="18">
        <f aca="true" t="shared" si="1" ref="I4:I28">IF(H4&lt;&gt;0,INT(1.84523*((H4*100)-75)^1.348),0)</f>
        <v>409</v>
      </c>
      <c r="J4" s="19">
        <v>5.92</v>
      </c>
      <c r="K4" s="18">
        <f aca="true" t="shared" si="2" ref="K4:K28">IF(J4&lt;&gt;0,INT(56.0211*(J4-1.5)^1.05),0)</f>
        <v>266</v>
      </c>
      <c r="L4" s="19">
        <v>22.34</v>
      </c>
      <c r="M4" s="18">
        <f aca="true" t="shared" si="3" ref="M4:M28">IF(L4&lt;&gt;0,INT(8.65059*(32-L4)^1.81),0)</f>
        <v>524</v>
      </c>
      <c r="N4" s="19">
        <v>4.13</v>
      </c>
      <c r="O4" s="18">
        <f aca="true" t="shared" si="4" ref="O4:O25">IF(N4&lt;&gt;0,INT(0.188807*((N4*100)-210)^1.41),0)</f>
        <v>338</v>
      </c>
      <c r="P4" s="19">
        <v>16.66</v>
      </c>
      <c r="Q4" s="18">
        <f aca="true" t="shared" si="5" ref="Q4:Q28">IF(P4&lt;&gt;0,INT(15.9803*(P4-3.8)^1.04),0)</f>
        <v>227</v>
      </c>
      <c r="R4" s="20">
        <v>2</v>
      </c>
      <c r="S4" s="19">
        <v>49.3</v>
      </c>
      <c r="T4" s="18">
        <f aca="true" t="shared" si="6" ref="T4:T28">IF(R4+S4&lt;&gt;0,INT(0.11193*(254-((R4*60)+S4))^1.88),0)</f>
        <v>471</v>
      </c>
      <c r="U4" s="90">
        <f aca="true" t="shared" si="7" ref="U4:U28">G4+I4+K4+M4</f>
        <v>1662</v>
      </c>
      <c r="V4" s="91">
        <f aca="true" t="shared" si="8" ref="V4:V28">O4+Q4+T4</f>
        <v>1036</v>
      </c>
    </row>
    <row r="5" spans="1:28" ht="12.75">
      <c r="A5" s="60" t="s">
        <v>18</v>
      </c>
      <c r="B5" s="51" t="s">
        <v>167</v>
      </c>
      <c r="C5" s="52">
        <v>97</v>
      </c>
      <c r="D5" s="52" t="s">
        <v>93</v>
      </c>
      <c r="E5" s="63">
        <f t="shared" si="0"/>
        <v>4886</v>
      </c>
      <c r="F5" s="65">
        <v>15.02</v>
      </c>
      <c r="G5" s="62">
        <f aca="true" t="shared" si="9" ref="G5:G27">IF(F5&lt;&gt;0,INT(9.23076*(26.7-F5)^1.835),0)</f>
        <v>839</v>
      </c>
      <c r="H5" s="65">
        <v>1.58</v>
      </c>
      <c r="I5" s="62">
        <f t="shared" si="1"/>
        <v>712</v>
      </c>
      <c r="J5" s="65">
        <v>11.44</v>
      </c>
      <c r="K5" s="62">
        <f t="shared" si="2"/>
        <v>624</v>
      </c>
      <c r="L5" s="65">
        <v>19.61</v>
      </c>
      <c r="M5" s="62">
        <f t="shared" si="3"/>
        <v>823</v>
      </c>
      <c r="N5" s="65">
        <v>5.27</v>
      </c>
      <c r="O5" s="62">
        <f t="shared" si="4"/>
        <v>634</v>
      </c>
      <c r="P5" s="65">
        <v>36.62</v>
      </c>
      <c r="Q5" s="62">
        <f t="shared" si="5"/>
        <v>603</v>
      </c>
      <c r="R5" s="66">
        <v>2</v>
      </c>
      <c r="S5" s="64">
        <v>33.4</v>
      </c>
      <c r="T5" s="62">
        <f t="shared" si="6"/>
        <v>651</v>
      </c>
      <c r="U5" s="62">
        <f t="shared" si="7"/>
        <v>2998</v>
      </c>
      <c r="V5" s="67">
        <f t="shared" si="8"/>
        <v>1888</v>
      </c>
      <c r="W5" s="51"/>
      <c r="X5" s="52"/>
      <c r="Y5" s="129"/>
      <c r="Z5" s="126" t="s">
        <v>207</v>
      </c>
      <c r="AA5" s="126" t="s">
        <v>207</v>
      </c>
      <c r="AB5" s="126" t="s">
        <v>207</v>
      </c>
    </row>
    <row r="6" spans="1:28" ht="12.75">
      <c r="A6" s="60" t="s">
        <v>19</v>
      </c>
      <c r="B6" s="212" t="s">
        <v>151</v>
      </c>
      <c r="C6" s="214" t="s">
        <v>101</v>
      </c>
      <c r="D6" s="213" t="s">
        <v>130</v>
      </c>
      <c r="E6" s="63">
        <f t="shared" si="0"/>
        <v>4113</v>
      </c>
      <c r="F6" s="65">
        <v>15.42</v>
      </c>
      <c r="G6" s="62">
        <f t="shared" si="9"/>
        <v>787</v>
      </c>
      <c r="H6" s="65">
        <v>1.55</v>
      </c>
      <c r="I6" s="62">
        <f t="shared" si="1"/>
        <v>678</v>
      </c>
      <c r="J6" s="65">
        <v>8.96</v>
      </c>
      <c r="K6" s="62">
        <f t="shared" si="2"/>
        <v>462</v>
      </c>
      <c r="L6" s="65">
        <v>20.92</v>
      </c>
      <c r="M6" s="62">
        <f t="shared" si="3"/>
        <v>672</v>
      </c>
      <c r="N6" s="65">
        <v>4.79</v>
      </c>
      <c r="O6" s="62">
        <f t="shared" si="4"/>
        <v>503</v>
      </c>
      <c r="P6" s="65">
        <v>22.45</v>
      </c>
      <c r="Q6" s="62">
        <f t="shared" si="5"/>
        <v>335</v>
      </c>
      <c r="R6" s="66">
        <v>2</v>
      </c>
      <c r="S6" s="64">
        <v>31.36</v>
      </c>
      <c r="T6" s="62">
        <f t="shared" si="6"/>
        <v>676</v>
      </c>
      <c r="U6" s="62">
        <f t="shared" si="7"/>
        <v>2599</v>
      </c>
      <c r="V6" s="67">
        <f t="shared" si="8"/>
        <v>1514</v>
      </c>
      <c r="W6" s="137"/>
      <c r="X6" s="62"/>
      <c r="Y6" s="136"/>
      <c r="Z6" s="126" t="s">
        <v>207</v>
      </c>
      <c r="AA6" s="126" t="s">
        <v>207</v>
      </c>
      <c r="AB6" s="126" t="s">
        <v>206</v>
      </c>
    </row>
    <row r="7" spans="1:28" ht="12.75">
      <c r="A7" s="60" t="s">
        <v>20</v>
      </c>
      <c r="B7" s="212" t="s">
        <v>150</v>
      </c>
      <c r="C7" s="214" t="s">
        <v>95</v>
      </c>
      <c r="D7" s="213" t="s">
        <v>53</v>
      </c>
      <c r="E7" s="63">
        <f t="shared" si="0"/>
        <v>3989</v>
      </c>
      <c r="F7" s="65">
        <v>15.96</v>
      </c>
      <c r="G7" s="62">
        <f t="shared" si="9"/>
        <v>719</v>
      </c>
      <c r="H7" s="65">
        <v>1.4</v>
      </c>
      <c r="I7" s="62">
        <f t="shared" si="1"/>
        <v>512</v>
      </c>
      <c r="J7" s="65">
        <v>7.95</v>
      </c>
      <c r="K7" s="62">
        <f t="shared" si="2"/>
        <v>396</v>
      </c>
      <c r="L7" s="65">
        <v>20.5</v>
      </c>
      <c r="M7" s="62">
        <f t="shared" si="3"/>
        <v>719</v>
      </c>
      <c r="N7" s="65">
        <v>5</v>
      </c>
      <c r="O7" s="62">
        <f t="shared" si="4"/>
        <v>559</v>
      </c>
      <c r="P7" s="65">
        <v>25.99</v>
      </c>
      <c r="Q7" s="62">
        <f t="shared" si="5"/>
        <v>401</v>
      </c>
      <c r="R7" s="66">
        <v>2</v>
      </c>
      <c r="S7" s="64">
        <v>30.78</v>
      </c>
      <c r="T7" s="62">
        <f t="shared" si="6"/>
        <v>683</v>
      </c>
      <c r="U7" s="62">
        <f t="shared" si="7"/>
        <v>2346</v>
      </c>
      <c r="V7" s="67">
        <f t="shared" si="8"/>
        <v>1643</v>
      </c>
      <c r="W7" s="127"/>
      <c r="X7" s="52"/>
      <c r="Y7" s="129"/>
      <c r="Z7" s="126" t="s">
        <v>207</v>
      </c>
      <c r="AA7" s="126" t="s">
        <v>207</v>
      </c>
      <c r="AB7" s="126" t="s">
        <v>213</v>
      </c>
    </row>
    <row r="8" spans="1:28" ht="12.75">
      <c r="A8" s="60" t="s">
        <v>21</v>
      </c>
      <c r="B8" s="212" t="s">
        <v>147</v>
      </c>
      <c r="C8" s="214" t="s">
        <v>95</v>
      </c>
      <c r="D8" s="213" t="s">
        <v>53</v>
      </c>
      <c r="E8" s="63">
        <f t="shared" si="0"/>
        <v>3951</v>
      </c>
      <c r="F8" s="65">
        <v>15.92</v>
      </c>
      <c r="G8" s="62">
        <f t="shared" si="9"/>
        <v>724</v>
      </c>
      <c r="H8" s="65">
        <v>1.46</v>
      </c>
      <c r="I8" s="62">
        <f t="shared" si="1"/>
        <v>577</v>
      </c>
      <c r="J8" s="65">
        <v>8.4</v>
      </c>
      <c r="K8" s="62">
        <f t="shared" si="2"/>
        <v>425</v>
      </c>
      <c r="L8" s="65">
        <v>20.03</v>
      </c>
      <c r="M8" s="62">
        <f t="shared" si="3"/>
        <v>773</v>
      </c>
      <c r="N8" s="65">
        <v>4.83</v>
      </c>
      <c r="O8" s="62">
        <f t="shared" si="4"/>
        <v>514</v>
      </c>
      <c r="P8" s="65">
        <v>24.09</v>
      </c>
      <c r="Q8" s="62">
        <f t="shared" si="5"/>
        <v>365</v>
      </c>
      <c r="R8" s="66">
        <v>2</v>
      </c>
      <c r="S8" s="64">
        <v>40.03</v>
      </c>
      <c r="T8" s="62">
        <f t="shared" si="6"/>
        <v>573</v>
      </c>
      <c r="U8" s="62">
        <f t="shared" si="7"/>
        <v>2499</v>
      </c>
      <c r="V8" s="67">
        <f t="shared" si="8"/>
        <v>1452</v>
      </c>
      <c r="W8" s="127"/>
      <c r="X8" s="52"/>
      <c r="Y8" s="129"/>
      <c r="Z8" s="126" t="s">
        <v>207</v>
      </c>
      <c r="AA8" s="126" t="s">
        <v>207</v>
      </c>
      <c r="AB8" s="126" t="s">
        <v>206</v>
      </c>
    </row>
    <row r="9" spans="1:28" ht="12.75">
      <c r="A9" s="60" t="s">
        <v>22</v>
      </c>
      <c r="B9" s="54" t="s">
        <v>158</v>
      </c>
      <c r="C9" s="55">
        <v>97</v>
      </c>
      <c r="D9" s="55" t="s">
        <v>91</v>
      </c>
      <c r="E9" s="63">
        <f t="shared" si="0"/>
        <v>3662</v>
      </c>
      <c r="F9" s="65">
        <v>16.47</v>
      </c>
      <c r="G9" s="62">
        <f t="shared" si="9"/>
        <v>658</v>
      </c>
      <c r="H9" s="65">
        <v>1.43</v>
      </c>
      <c r="I9" s="62">
        <f t="shared" si="1"/>
        <v>544</v>
      </c>
      <c r="J9" s="65">
        <v>8.38</v>
      </c>
      <c r="K9" s="62">
        <f t="shared" si="2"/>
        <v>424</v>
      </c>
      <c r="L9" s="65">
        <v>20.67</v>
      </c>
      <c r="M9" s="62">
        <f t="shared" si="3"/>
        <v>700</v>
      </c>
      <c r="N9" s="65">
        <v>4.75</v>
      </c>
      <c r="O9" s="62">
        <f t="shared" si="4"/>
        <v>492</v>
      </c>
      <c r="P9" s="65">
        <v>25.98</v>
      </c>
      <c r="Q9" s="62">
        <f t="shared" si="5"/>
        <v>401</v>
      </c>
      <c r="R9" s="66">
        <v>2</v>
      </c>
      <c r="S9" s="64">
        <v>51.96</v>
      </c>
      <c r="T9" s="62">
        <f t="shared" si="6"/>
        <v>443</v>
      </c>
      <c r="U9" s="62">
        <f t="shared" si="7"/>
        <v>2326</v>
      </c>
      <c r="V9" s="67">
        <f t="shared" si="8"/>
        <v>1336</v>
      </c>
      <c r="W9" s="54"/>
      <c r="X9" s="55"/>
      <c r="Y9" s="240"/>
      <c r="Z9" s="126" t="s">
        <v>207</v>
      </c>
      <c r="AA9" s="126" t="s">
        <v>207</v>
      </c>
      <c r="AB9" s="126" t="s">
        <v>241</v>
      </c>
    </row>
    <row r="10" spans="1:28" ht="12.75">
      <c r="A10" s="60" t="s">
        <v>23</v>
      </c>
      <c r="B10" s="54" t="s">
        <v>197</v>
      </c>
      <c r="C10" s="55">
        <v>98</v>
      </c>
      <c r="D10" s="55" t="s">
        <v>190</v>
      </c>
      <c r="E10" s="63">
        <f t="shared" si="0"/>
        <v>3644</v>
      </c>
      <c r="F10" s="65">
        <v>16.74</v>
      </c>
      <c r="G10" s="62">
        <f t="shared" si="9"/>
        <v>626</v>
      </c>
      <c r="H10" s="65">
        <v>1.43</v>
      </c>
      <c r="I10" s="62">
        <f t="shared" si="1"/>
        <v>544</v>
      </c>
      <c r="J10" s="65">
        <v>7.85</v>
      </c>
      <c r="K10" s="62">
        <f t="shared" si="2"/>
        <v>390</v>
      </c>
      <c r="L10" s="65">
        <v>21.28</v>
      </c>
      <c r="M10" s="62">
        <f t="shared" si="3"/>
        <v>633</v>
      </c>
      <c r="N10" s="65">
        <v>4.71</v>
      </c>
      <c r="O10" s="62">
        <f t="shared" si="4"/>
        <v>482</v>
      </c>
      <c r="P10" s="65">
        <v>23.71</v>
      </c>
      <c r="Q10" s="62">
        <f t="shared" si="5"/>
        <v>358</v>
      </c>
      <c r="R10" s="66">
        <v>2</v>
      </c>
      <c r="S10" s="64">
        <v>36.71</v>
      </c>
      <c r="T10" s="62">
        <f t="shared" si="6"/>
        <v>611</v>
      </c>
      <c r="U10" s="62">
        <f t="shared" si="7"/>
        <v>2193</v>
      </c>
      <c r="V10" s="67">
        <f t="shared" si="8"/>
        <v>1451</v>
      </c>
      <c r="W10" s="54"/>
      <c r="X10" s="55"/>
      <c r="Y10" s="240"/>
      <c r="Z10" s="126" t="s">
        <v>207</v>
      </c>
      <c r="AA10" s="126" t="s">
        <v>207</v>
      </c>
      <c r="AB10" s="126" t="s">
        <v>207</v>
      </c>
    </row>
    <row r="11" spans="1:28" ht="12.75">
      <c r="A11" s="60" t="s">
        <v>24</v>
      </c>
      <c r="B11" s="212" t="s">
        <v>146</v>
      </c>
      <c r="C11" s="214" t="s">
        <v>95</v>
      </c>
      <c r="D11" s="213" t="s">
        <v>53</v>
      </c>
      <c r="E11" s="63">
        <f t="shared" si="0"/>
        <v>3461</v>
      </c>
      <c r="F11" s="65">
        <v>16.7</v>
      </c>
      <c r="G11" s="62">
        <f t="shared" si="9"/>
        <v>631</v>
      </c>
      <c r="H11" s="65">
        <v>1.43</v>
      </c>
      <c r="I11" s="62">
        <f t="shared" si="1"/>
        <v>544</v>
      </c>
      <c r="J11" s="65">
        <v>8.57</v>
      </c>
      <c r="K11" s="62">
        <f t="shared" si="2"/>
        <v>436</v>
      </c>
      <c r="L11" s="65">
        <v>20.94</v>
      </c>
      <c r="M11" s="62">
        <f t="shared" si="3"/>
        <v>670</v>
      </c>
      <c r="N11" s="65">
        <v>3.99</v>
      </c>
      <c r="O11" s="62">
        <f t="shared" si="4"/>
        <v>306</v>
      </c>
      <c r="P11" s="65">
        <v>20.19</v>
      </c>
      <c r="Q11" s="62">
        <f t="shared" si="5"/>
        <v>292</v>
      </c>
      <c r="R11" s="66">
        <v>2</v>
      </c>
      <c r="S11" s="64">
        <v>39.19</v>
      </c>
      <c r="T11" s="62">
        <f t="shared" si="6"/>
        <v>582</v>
      </c>
      <c r="U11" s="62">
        <f t="shared" si="7"/>
        <v>2281</v>
      </c>
      <c r="V11" s="67">
        <f t="shared" si="8"/>
        <v>1180</v>
      </c>
      <c r="W11" s="127"/>
      <c r="X11" s="52"/>
      <c r="Y11" s="52"/>
      <c r="Z11" s="126" t="s">
        <v>207</v>
      </c>
      <c r="AA11" s="126" t="s">
        <v>207</v>
      </c>
      <c r="AB11" s="126" t="s">
        <v>217</v>
      </c>
    </row>
    <row r="12" spans="1:28" ht="12.75">
      <c r="A12" s="60" t="s">
        <v>25</v>
      </c>
      <c r="B12" s="212" t="s">
        <v>149</v>
      </c>
      <c r="C12" s="214" t="s">
        <v>95</v>
      </c>
      <c r="D12" s="213" t="s">
        <v>53</v>
      </c>
      <c r="E12" s="63">
        <f t="shared" si="0"/>
        <v>3440</v>
      </c>
      <c r="F12" s="65">
        <v>17.58</v>
      </c>
      <c r="G12" s="62">
        <f t="shared" si="9"/>
        <v>533</v>
      </c>
      <c r="H12" s="65">
        <v>1.49</v>
      </c>
      <c r="I12" s="62">
        <f t="shared" si="1"/>
        <v>610</v>
      </c>
      <c r="J12" s="65">
        <v>6.49</v>
      </c>
      <c r="K12" s="62">
        <f t="shared" si="2"/>
        <v>302</v>
      </c>
      <c r="L12" s="65">
        <v>21.57</v>
      </c>
      <c r="M12" s="62">
        <f t="shared" si="3"/>
        <v>602</v>
      </c>
      <c r="N12" s="65">
        <v>4.75</v>
      </c>
      <c r="O12" s="62">
        <f t="shared" si="4"/>
        <v>492</v>
      </c>
      <c r="P12" s="65">
        <v>20.97</v>
      </c>
      <c r="Q12" s="62">
        <f t="shared" si="5"/>
        <v>307</v>
      </c>
      <c r="R12" s="66">
        <v>2</v>
      </c>
      <c r="S12" s="64">
        <v>38.17</v>
      </c>
      <c r="T12" s="62">
        <f t="shared" si="6"/>
        <v>594</v>
      </c>
      <c r="U12" s="62">
        <f t="shared" si="7"/>
        <v>2047</v>
      </c>
      <c r="V12" s="67">
        <f t="shared" si="8"/>
        <v>1393</v>
      </c>
      <c r="W12" s="127"/>
      <c r="X12" s="52"/>
      <c r="Y12" s="129"/>
      <c r="Z12" s="126" t="s">
        <v>208</v>
      </c>
      <c r="AA12" s="126" t="s">
        <v>207</v>
      </c>
      <c r="AB12" s="126" t="s">
        <v>207</v>
      </c>
    </row>
    <row r="13" spans="1:28" ht="12.75">
      <c r="A13" s="60" t="s">
        <v>26</v>
      </c>
      <c r="B13" s="54" t="s">
        <v>196</v>
      </c>
      <c r="C13" s="55">
        <v>98</v>
      </c>
      <c r="D13" s="55" t="s">
        <v>190</v>
      </c>
      <c r="E13" s="63">
        <f t="shared" si="0"/>
        <v>3311</v>
      </c>
      <c r="F13" s="65">
        <v>17.87</v>
      </c>
      <c r="G13" s="62">
        <f t="shared" si="9"/>
        <v>502</v>
      </c>
      <c r="H13" s="65">
        <v>1.4</v>
      </c>
      <c r="I13" s="62">
        <f t="shared" si="1"/>
        <v>512</v>
      </c>
      <c r="J13" s="65">
        <v>7.97</v>
      </c>
      <c r="K13" s="62">
        <f t="shared" si="2"/>
        <v>397</v>
      </c>
      <c r="L13" s="65">
        <v>22.37</v>
      </c>
      <c r="M13" s="62">
        <f t="shared" si="3"/>
        <v>521</v>
      </c>
      <c r="N13" s="65">
        <v>4.73</v>
      </c>
      <c r="O13" s="62">
        <f t="shared" si="4"/>
        <v>487</v>
      </c>
      <c r="P13" s="65">
        <v>27.35</v>
      </c>
      <c r="Q13" s="62">
        <f t="shared" si="5"/>
        <v>427</v>
      </c>
      <c r="R13" s="66">
        <v>2</v>
      </c>
      <c r="S13" s="64">
        <v>49.91</v>
      </c>
      <c r="T13" s="62">
        <f t="shared" si="6"/>
        <v>465</v>
      </c>
      <c r="U13" s="62">
        <f t="shared" si="7"/>
        <v>1932</v>
      </c>
      <c r="V13" s="67">
        <f t="shared" si="8"/>
        <v>1379</v>
      </c>
      <c r="W13" s="54"/>
      <c r="X13" s="55"/>
      <c r="Y13" s="240"/>
      <c r="Z13" s="126" t="s">
        <v>207</v>
      </c>
      <c r="AA13" s="126" t="s">
        <v>207</v>
      </c>
      <c r="AB13" s="126" t="s">
        <v>207</v>
      </c>
    </row>
    <row r="14" spans="1:28" ht="12.75">
      <c r="A14" s="60" t="s">
        <v>27</v>
      </c>
      <c r="B14" s="212" t="s">
        <v>148</v>
      </c>
      <c r="C14" s="214" t="s">
        <v>95</v>
      </c>
      <c r="D14" s="213" t="s">
        <v>130</v>
      </c>
      <c r="E14" s="63">
        <f t="shared" si="0"/>
        <v>3224</v>
      </c>
      <c r="F14" s="65">
        <v>18.18</v>
      </c>
      <c r="G14" s="62">
        <f t="shared" si="9"/>
        <v>470</v>
      </c>
      <c r="H14" s="65">
        <v>1.46</v>
      </c>
      <c r="I14" s="62">
        <f t="shared" si="1"/>
        <v>577</v>
      </c>
      <c r="J14" s="65">
        <v>7.34</v>
      </c>
      <c r="K14" s="62">
        <f t="shared" si="2"/>
        <v>357</v>
      </c>
      <c r="L14" s="65">
        <v>22.83</v>
      </c>
      <c r="M14" s="62">
        <f t="shared" si="3"/>
        <v>477</v>
      </c>
      <c r="N14" s="65">
        <v>4.02</v>
      </c>
      <c r="O14" s="62">
        <f t="shared" si="4"/>
        <v>312</v>
      </c>
      <c r="P14" s="65">
        <v>25.46</v>
      </c>
      <c r="Q14" s="62">
        <f t="shared" si="5"/>
        <v>391</v>
      </c>
      <c r="R14" s="66">
        <v>2</v>
      </c>
      <c r="S14" s="64">
        <v>34.32</v>
      </c>
      <c r="T14" s="62">
        <f t="shared" si="6"/>
        <v>640</v>
      </c>
      <c r="U14" s="62">
        <f t="shared" si="7"/>
        <v>1881</v>
      </c>
      <c r="V14" s="67">
        <f t="shared" si="8"/>
        <v>1343</v>
      </c>
      <c r="W14" s="127"/>
      <c r="X14" s="52"/>
      <c r="Y14" s="52"/>
      <c r="Z14" s="126" t="s">
        <v>207</v>
      </c>
      <c r="AA14" s="126" t="s">
        <v>207</v>
      </c>
      <c r="AB14" s="126" t="s">
        <v>240</v>
      </c>
    </row>
    <row r="15" spans="1:28" ht="12.75">
      <c r="A15" s="60" t="s">
        <v>30</v>
      </c>
      <c r="B15" s="135" t="s">
        <v>165</v>
      </c>
      <c r="C15" s="62">
        <v>97</v>
      </c>
      <c r="D15" s="62" t="s">
        <v>80</v>
      </c>
      <c r="E15" s="63">
        <f t="shared" si="0"/>
        <v>3213</v>
      </c>
      <c r="F15" s="65">
        <v>17.38</v>
      </c>
      <c r="G15" s="62">
        <f t="shared" si="9"/>
        <v>554</v>
      </c>
      <c r="H15" s="65">
        <v>1.49</v>
      </c>
      <c r="I15" s="62">
        <f t="shared" si="1"/>
        <v>610</v>
      </c>
      <c r="J15" s="65">
        <v>9.11</v>
      </c>
      <c r="K15" s="62">
        <f t="shared" si="2"/>
        <v>471</v>
      </c>
      <c r="L15" s="65">
        <v>21.66</v>
      </c>
      <c r="M15" s="62">
        <f t="shared" si="3"/>
        <v>593</v>
      </c>
      <c r="N15" s="65">
        <v>4.67</v>
      </c>
      <c r="O15" s="62">
        <f t="shared" si="4"/>
        <v>472</v>
      </c>
      <c r="P15" s="65">
        <v>11.79</v>
      </c>
      <c r="Q15" s="62">
        <f t="shared" si="5"/>
        <v>138</v>
      </c>
      <c r="R15" s="66">
        <v>2</v>
      </c>
      <c r="S15" s="64">
        <v>58.99</v>
      </c>
      <c r="T15" s="62">
        <f t="shared" si="6"/>
        <v>375</v>
      </c>
      <c r="U15" s="62">
        <f t="shared" si="7"/>
        <v>2228</v>
      </c>
      <c r="V15" s="67">
        <f t="shared" si="8"/>
        <v>985</v>
      </c>
      <c r="W15" s="135"/>
      <c r="X15" s="62"/>
      <c r="Y15" s="62"/>
      <c r="Z15" s="126" t="s">
        <v>208</v>
      </c>
      <c r="AA15" s="126" t="s">
        <v>233</v>
      </c>
      <c r="AB15" s="126" t="s">
        <v>207</v>
      </c>
    </row>
    <row r="16" spans="1:28" ht="12.75">
      <c r="A16" s="60" t="s">
        <v>31</v>
      </c>
      <c r="B16" s="54" t="s">
        <v>168</v>
      </c>
      <c r="C16" s="55">
        <v>98</v>
      </c>
      <c r="D16" s="55" t="s">
        <v>54</v>
      </c>
      <c r="E16" s="63">
        <f t="shared" si="0"/>
        <v>2995</v>
      </c>
      <c r="F16" s="65">
        <v>16.76</v>
      </c>
      <c r="G16" s="62">
        <f t="shared" si="9"/>
        <v>624</v>
      </c>
      <c r="H16" s="65">
        <v>1.37</v>
      </c>
      <c r="I16" s="62">
        <f t="shared" si="1"/>
        <v>481</v>
      </c>
      <c r="J16" s="65">
        <v>8.51</v>
      </c>
      <c r="K16" s="62">
        <f t="shared" si="2"/>
        <v>432</v>
      </c>
      <c r="L16" s="65">
        <v>22.03</v>
      </c>
      <c r="M16" s="62">
        <f t="shared" si="3"/>
        <v>555</v>
      </c>
      <c r="N16" s="65">
        <v>4.2</v>
      </c>
      <c r="O16" s="62">
        <f t="shared" si="4"/>
        <v>355</v>
      </c>
      <c r="P16" s="65">
        <v>22.51</v>
      </c>
      <c r="Q16" s="62">
        <f t="shared" si="5"/>
        <v>336</v>
      </c>
      <c r="R16" s="66">
        <v>3</v>
      </c>
      <c r="S16" s="64">
        <v>18.54</v>
      </c>
      <c r="T16" s="62">
        <f t="shared" si="6"/>
        <v>212</v>
      </c>
      <c r="U16" s="62">
        <f t="shared" si="7"/>
        <v>2092</v>
      </c>
      <c r="V16" s="67">
        <f t="shared" si="8"/>
        <v>903</v>
      </c>
      <c r="W16" s="54"/>
      <c r="X16" s="55"/>
      <c r="Y16" s="55"/>
      <c r="Z16" s="126" t="s">
        <v>207</v>
      </c>
      <c r="AA16" s="126" t="s">
        <v>207</v>
      </c>
      <c r="AB16" s="126" t="s">
        <v>242</v>
      </c>
    </row>
    <row r="17" spans="1:28" ht="12.75">
      <c r="A17" s="60" t="s">
        <v>32</v>
      </c>
      <c r="B17" s="212" t="s">
        <v>152</v>
      </c>
      <c r="C17" s="214" t="s">
        <v>95</v>
      </c>
      <c r="D17" s="213" t="s">
        <v>91</v>
      </c>
      <c r="E17" s="63">
        <f t="shared" si="0"/>
        <v>2987</v>
      </c>
      <c r="F17" s="65">
        <v>17.06</v>
      </c>
      <c r="G17" s="62">
        <f t="shared" si="9"/>
        <v>590</v>
      </c>
      <c r="H17" s="65">
        <v>1.37</v>
      </c>
      <c r="I17" s="62">
        <f t="shared" si="1"/>
        <v>481</v>
      </c>
      <c r="J17" s="65">
        <v>9</v>
      </c>
      <c r="K17" s="62">
        <f t="shared" si="2"/>
        <v>464</v>
      </c>
      <c r="L17" s="65">
        <v>21.45</v>
      </c>
      <c r="M17" s="62">
        <f t="shared" si="3"/>
        <v>615</v>
      </c>
      <c r="N17" s="65">
        <v>0</v>
      </c>
      <c r="O17" s="62">
        <f t="shared" si="4"/>
        <v>0</v>
      </c>
      <c r="P17" s="65">
        <v>16.95</v>
      </c>
      <c r="Q17" s="62">
        <f t="shared" si="5"/>
        <v>232</v>
      </c>
      <c r="R17" s="66">
        <v>2</v>
      </c>
      <c r="S17" s="64">
        <v>37.22</v>
      </c>
      <c r="T17" s="62">
        <f t="shared" si="6"/>
        <v>605</v>
      </c>
      <c r="U17" s="62">
        <f t="shared" si="7"/>
        <v>2150</v>
      </c>
      <c r="V17" s="67">
        <f t="shared" si="8"/>
        <v>837</v>
      </c>
      <c r="W17" s="51"/>
      <c r="X17" s="52"/>
      <c r="Y17" s="52"/>
      <c r="Z17" s="126" t="s">
        <v>207</v>
      </c>
      <c r="AA17" s="126" t="s">
        <v>207</v>
      </c>
      <c r="AB17" s="126"/>
    </row>
    <row r="18" spans="1:28" ht="12.75">
      <c r="A18" s="60" t="s">
        <v>33</v>
      </c>
      <c r="B18" s="54" t="s">
        <v>164</v>
      </c>
      <c r="C18" s="55">
        <v>97</v>
      </c>
      <c r="D18" s="55" t="s">
        <v>157</v>
      </c>
      <c r="E18" s="63">
        <f t="shared" si="0"/>
        <v>2984</v>
      </c>
      <c r="F18" s="65">
        <v>18.2</v>
      </c>
      <c r="G18" s="62">
        <f t="shared" si="9"/>
        <v>468</v>
      </c>
      <c r="H18" s="65">
        <v>1.52</v>
      </c>
      <c r="I18" s="62">
        <f t="shared" si="1"/>
        <v>644</v>
      </c>
      <c r="J18" s="65">
        <v>7.17</v>
      </c>
      <c r="K18" s="62">
        <f t="shared" si="2"/>
        <v>346</v>
      </c>
      <c r="L18" s="65">
        <v>22.54</v>
      </c>
      <c r="M18" s="62">
        <f t="shared" si="3"/>
        <v>505</v>
      </c>
      <c r="N18" s="65">
        <v>4.05</v>
      </c>
      <c r="O18" s="62">
        <f t="shared" si="4"/>
        <v>319</v>
      </c>
      <c r="P18" s="65">
        <v>22.32</v>
      </c>
      <c r="Q18" s="62">
        <f t="shared" si="5"/>
        <v>332</v>
      </c>
      <c r="R18" s="66">
        <v>2</v>
      </c>
      <c r="S18" s="64">
        <v>59.44</v>
      </c>
      <c r="T18" s="62">
        <f t="shared" si="6"/>
        <v>370</v>
      </c>
      <c r="U18" s="62">
        <f t="shared" si="7"/>
        <v>1963</v>
      </c>
      <c r="V18" s="67">
        <f t="shared" si="8"/>
        <v>1021</v>
      </c>
      <c r="W18" s="54"/>
      <c r="X18" s="55"/>
      <c r="Y18" s="55"/>
      <c r="Z18" s="126" t="s">
        <v>207</v>
      </c>
      <c r="AA18" s="126" t="s">
        <v>233</v>
      </c>
      <c r="AB18" s="126" t="s">
        <v>207</v>
      </c>
    </row>
    <row r="19" spans="1:28" ht="12.75">
      <c r="A19" s="60" t="s">
        <v>34</v>
      </c>
      <c r="B19" s="54" t="s">
        <v>162</v>
      </c>
      <c r="C19" s="55">
        <v>98</v>
      </c>
      <c r="D19" s="55" t="s">
        <v>89</v>
      </c>
      <c r="E19" s="63">
        <f t="shared" si="0"/>
        <v>2927</v>
      </c>
      <c r="F19" s="65">
        <v>17.22</v>
      </c>
      <c r="G19" s="62">
        <f t="shared" si="9"/>
        <v>572</v>
      </c>
      <c r="H19" s="65">
        <v>1.25</v>
      </c>
      <c r="I19" s="62">
        <f t="shared" si="1"/>
        <v>359</v>
      </c>
      <c r="J19" s="65">
        <v>7.53</v>
      </c>
      <c r="K19" s="62">
        <f t="shared" si="2"/>
        <v>369</v>
      </c>
      <c r="L19" s="65">
        <v>21.24</v>
      </c>
      <c r="M19" s="62">
        <f t="shared" si="3"/>
        <v>637</v>
      </c>
      <c r="N19" s="65">
        <v>3.84</v>
      </c>
      <c r="O19" s="62">
        <f t="shared" si="4"/>
        <v>272</v>
      </c>
      <c r="P19" s="65">
        <v>19.63</v>
      </c>
      <c r="Q19" s="62">
        <f t="shared" si="5"/>
        <v>282</v>
      </c>
      <c r="R19" s="66">
        <v>2</v>
      </c>
      <c r="S19" s="64">
        <v>52.72</v>
      </c>
      <c r="T19" s="62">
        <f t="shared" si="6"/>
        <v>436</v>
      </c>
      <c r="U19" s="62">
        <f t="shared" si="7"/>
        <v>1937</v>
      </c>
      <c r="V19" s="67">
        <f t="shared" si="8"/>
        <v>990</v>
      </c>
      <c r="W19" s="54"/>
      <c r="X19" s="55"/>
      <c r="Y19" s="55"/>
      <c r="Z19" s="126" t="s">
        <v>207</v>
      </c>
      <c r="AA19" s="126" t="s">
        <v>233</v>
      </c>
      <c r="AB19" s="126" t="s">
        <v>242</v>
      </c>
    </row>
    <row r="20" spans="1:28" ht="12.75">
      <c r="A20" s="60" t="s">
        <v>35</v>
      </c>
      <c r="B20" s="54" t="s">
        <v>160</v>
      </c>
      <c r="C20" s="55">
        <v>98</v>
      </c>
      <c r="D20" s="55" t="s">
        <v>53</v>
      </c>
      <c r="E20" s="63">
        <f t="shared" si="0"/>
        <v>2878</v>
      </c>
      <c r="F20" s="65">
        <v>17.83</v>
      </c>
      <c r="G20" s="62">
        <f t="shared" si="9"/>
        <v>506</v>
      </c>
      <c r="H20" s="65">
        <v>1.37</v>
      </c>
      <c r="I20" s="62">
        <f t="shared" si="1"/>
        <v>481</v>
      </c>
      <c r="J20" s="65">
        <v>6.88</v>
      </c>
      <c r="K20" s="62">
        <f t="shared" si="2"/>
        <v>327</v>
      </c>
      <c r="L20" s="65">
        <v>22.01</v>
      </c>
      <c r="M20" s="62">
        <f t="shared" si="3"/>
        <v>557</v>
      </c>
      <c r="N20" s="65">
        <v>4.39</v>
      </c>
      <c r="O20" s="62">
        <f t="shared" si="4"/>
        <v>401</v>
      </c>
      <c r="P20" s="65">
        <v>20.34</v>
      </c>
      <c r="Q20" s="62">
        <f t="shared" si="5"/>
        <v>295</v>
      </c>
      <c r="R20" s="66">
        <v>3</v>
      </c>
      <c r="S20" s="64">
        <v>6.07</v>
      </c>
      <c r="T20" s="62">
        <f t="shared" si="6"/>
        <v>311</v>
      </c>
      <c r="U20" s="62">
        <f t="shared" si="7"/>
        <v>1871</v>
      </c>
      <c r="V20" s="67">
        <f t="shared" si="8"/>
        <v>1007</v>
      </c>
      <c r="W20" s="54"/>
      <c r="X20" s="55"/>
      <c r="Y20" s="55"/>
      <c r="Z20" s="126" t="s">
        <v>207</v>
      </c>
      <c r="AA20" s="126" t="s">
        <v>207</v>
      </c>
      <c r="AB20" s="126" t="s">
        <v>207</v>
      </c>
    </row>
    <row r="21" spans="1:28" ht="12.75">
      <c r="A21" s="60" t="s">
        <v>36</v>
      </c>
      <c r="B21" s="212" t="s">
        <v>153</v>
      </c>
      <c r="C21" s="214" t="s">
        <v>101</v>
      </c>
      <c r="D21" s="213" t="s">
        <v>89</v>
      </c>
      <c r="E21" s="63">
        <f t="shared" si="0"/>
        <v>2843</v>
      </c>
      <c r="F21" s="65">
        <v>18.99</v>
      </c>
      <c r="G21" s="62">
        <f t="shared" si="9"/>
        <v>391</v>
      </c>
      <c r="H21" s="65">
        <v>1.31</v>
      </c>
      <c r="I21" s="62">
        <f t="shared" si="1"/>
        <v>419</v>
      </c>
      <c r="J21" s="65">
        <v>7.4</v>
      </c>
      <c r="K21" s="62">
        <f t="shared" si="2"/>
        <v>361</v>
      </c>
      <c r="L21" s="65">
        <v>22.5</v>
      </c>
      <c r="M21" s="62">
        <f t="shared" si="3"/>
        <v>509</v>
      </c>
      <c r="N21" s="65">
        <v>4</v>
      </c>
      <c r="O21" s="62">
        <f t="shared" si="4"/>
        <v>308</v>
      </c>
      <c r="P21" s="65">
        <v>27.5</v>
      </c>
      <c r="Q21" s="62">
        <f t="shared" si="5"/>
        <v>429</v>
      </c>
      <c r="R21" s="66">
        <v>2</v>
      </c>
      <c r="S21" s="64">
        <v>53.69</v>
      </c>
      <c r="T21" s="62">
        <f t="shared" si="6"/>
        <v>426</v>
      </c>
      <c r="U21" s="62">
        <f t="shared" si="7"/>
        <v>1680</v>
      </c>
      <c r="V21" s="67">
        <f t="shared" si="8"/>
        <v>1163</v>
      </c>
      <c r="W21" s="127"/>
      <c r="X21" s="52"/>
      <c r="Y21" s="52"/>
      <c r="Z21" s="126" t="s">
        <v>208</v>
      </c>
      <c r="AA21" s="126" t="s">
        <v>233</v>
      </c>
      <c r="AB21" s="126" t="s">
        <v>207</v>
      </c>
    </row>
    <row r="22" spans="1:28" ht="12.75">
      <c r="A22" s="60" t="s">
        <v>37</v>
      </c>
      <c r="B22" s="51" t="s">
        <v>161</v>
      </c>
      <c r="C22" s="52">
        <v>98</v>
      </c>
      <c r="D22" s="52" t="s">
        <v>80</v>
      </c>
      <c r="E22" s="63">
        <f t="shared" si="0"/>
        <v>2837</v>
      </c>
      <c r="F22" s="65">
        <v>18.67</v>
      </c>
      <c r="G22" s="62">
        <f t="shared" si="9"/>
        <v>422</v>
      </c>
      <c r="H22" s="65">
        <v>1.25</v>
      </c>
      <c r="I22" s="62">
        <f t="shared" si="1"/>
        <v>359</v>
      </c>
      <c r="J22" s="65">
        <v>8.01</v>
      </c>
      <c r="K22" s="62">
        <f t="shared" si="2"/>
        <v>400</v>
      </c>
      <c r="L22" s="65">
        <v>22.45</v>
      </c>
      <c r="M22" s="62">
        <f t="shared" si="3"/>
        <v>513</v>
      </c>
      <c r="N22" s="65">
        <v>4.22</v>
      </c>
      <c r="O22" s="62">
        <f t="shared" si="4"/>
        <v>359</v>
      </c>
      <c r="P22" s="65">
        <v>20.51</v>
      </c>
      <c r="Q22" s="62">
        <f t="shared" si="5"/>
        <v>298</v>
      </c>
      <c r="R22" s="66">
        <v>2</v>
      </c>
      <c r="S22" s="64">
        <v>47.86</v>
      </c>
      <c r="T22" s="62">
        <f t="shared" si="6"/>
        <v>486</v>
      </c>
      <c r="U22" s="62">
        <f t="shared" si="7"/>
        <v>1694</v>
      </c>
      <c r="V22" s="67">
        <f t="shared" si="8"/>
        <v>1143</v>
      </c>
      <c r="W22" s="54"/>
      <c r="X22" s="55"/>
      <c r="Y22" s="55"/>
      <c r="Z22" s="126" t="s">
        <v>208</v>
      </c>
      <c r="AA22" s="126" t="s">
        <v>207</v>
      </c>
      <c r="AB22" s="126" t="s">
        <v>206</v>
      </c>
    </row>
    <row r="23" spans="1:28" ht="12.75">
      <c r="A23" s="60" t="s">
        <v>38</v>
      </c>
      <c r="B23" s="54" t="s">
        <v>163</v>
      </c>
      <c r="C23" s="55">
        <v>97</v>
      </c>
      <c r="D23" s="55" t="s">
        <v>89</v>
      </c>
      <c r="E23" s="63">
        <f t="shared" si="0"/>
        <v>2775</v>
      </c>
      <c r="F23" s="65">
        <v>15.35</v>
      </c>
      <c r="G23" s="62">
        <f t="shared" si="9"/>
        <v>796</v>
      </c>
      <c r="H23" s="65">
        <v>0</v>
      </c>
      <c r="I23" s="62">
        <f t="shared" si="1"/>
        <v>0</v>
      </c>
      <c r="J23" s="65">
        <v>6.02</v>
      </c>
      <c r="K23" s="62">
        <f t="shared" si="2"/>
        <v>273</v>
      </c>
      <c r="L23" s="65">
        <v>19.84</v>
      </c>
      <c r="M23" s="62">
        <f t="shared" si="3"/>
        <v>795</v>
      </c>
      <c r="N23" s="65">
        <v>4.46</v>
      </c>
      <c r="O23" s="62">
        <f t="shared" si="4"/>
        <v>418</v>
      </c>
      <c r="P23" s="65">
        <v>16.92</v>
      </c>
      <c r="Q23" s="62">
        <f t="shared" si="5"/>
        <v>232</v>
      </c>
      <c r="R23" s="66">
        <v>3</v>
      </c>
      <c r="S23" s="64">
        <v>12.1</v>
      </c>
      <c r="T23" s="62">
        <f t="shared" si="6"/>
        <v>261</v>
      </c>
      <c r="U23" s="62">
        <f t="shared" si="7"/>
        <v>1864</v>
      </c>
      <c r="V23" s="67">
        <f t="shared" si="8"/>
        <v>911</v>
      </c>
      <c r="W23" s="54"/>
      <c r="X23" s="55"/>
      <c r="Y23" s="55"/>
      <c r="Z23" s="126" t="s">
        <v>207</v>
      </c>
      <c r="AA23" s="126" t="s">
        <v>207</v>
      </c>
      <c r="AB23" s="126" t="s">
        <v>207</v>
      </c>
    </row>
    <row r="24" spans="1:28" ht="12.75">
      <c r="A24" s="60" t="s">
        <v>39</v>
      </c>
      <c r="B24" s="54" t="s">
        <v>155</v>
      </c>
      <c r="C24" s="55">
        <v>98</v>
      </c>
      <c r="D24" s="55" t="s">
        <v>89</v>
      </c>
      <c r="E24" s="63">
        <f t="shared" si="0"/>
        <v>2236</v>
      </c>
      <c r="F24" s="65">
        <v>20.17</v>
      </c>
      <c r="G24" s="62">
        <f t="shared" si="9"/>
        <v>288</v>
      </c>
      <c r="H24" s="65">
        <v>1.22</v>
      </c>
      <c r="I24" s="62">
        <f t="shared" si="1"/>
        <v>331</v>
      </c>
      <c r="J24" s="65">
        <v>7.96</v>
      </c>
      <c r="K24" s="62">
        <f t="shared" si="2"/>
        <v>397</v>
      </c>
      <c r="L24" s="65">
        <v>23.93</v>
      </c>
      <c r="M24" s="62">
        <f t="shared" si="3"/>
        <v>378</v>
      </c>
      <c r="N24" s="65">
        <v>3.79</v>
      </c>
      <c r="O24" s="62">
        <f t="shared" si="4"/>
        <v>261</v>
      </c>
      <c r="P24" s="65">
        <v>16.31</v>
      </c>
      <c r="Q24" s="62">
        <f t="shared" si="5"/>
        <v>221</v>
      </c>
      <c r="R24" s="66">
        <v>3</v>
      </c>
      <c r="S24" s="64">
        <v>0.61</v>
      </c>
      <c r="T24" s="62">
        <f t="shared" si="6"/>
        <v>360</v>
      </c>
      <c r="U24" s="62">
        <f t="shared" si="7"/>
        <v>1394</v>
      </c>
      <c r="V24" s="67">
        <f t="shared" si="8"/>
        <v>842</v>
      </c>
      <c r="W24" s="54"/>
      <c r="X24" s="55"/>
      <c r="Y24" s="55"/>
      <c r="Z24" s="126" t="s">
        <v>208</v>
      </c>
      <c r="AA24" s="126" t="s">
        <v>233</v>
      </c>
      <c r="AB24" s="126" t="s">
        <v>217</v>
      </c>
    </row>
    <row r="25" spans="1:28" ht="12.75">
      <c r="A25" s="60" t="s">
        <v>40</v>
      </c>
      <c r="B25" s="54" t="s">
        <v>156</v>
      </c>
      <c r="C25" s="55">
        <v>98</v>
      </c>
      <c r="D25" s="55" t="s">
        <v>157</v>
      </c>
      <c r="E25" s="63">
        <f t="shared" si="0"/>
        <v>2144</v>
      </c>
      <c r="F25" s="65">
        <v>18.91</v>
      </c>
      <c r="G25" s="62">
        <f t="shared" si="9"/>
        <v>399</v>
      </c>
      <c r="H25" s="65">
        <v>1.13</v>
      </c>
      <c r="I25" s="62">
        <f t="shared" si="1"/>
        <v>248</v>
      </c>
      <c r="J25" s="65">
        <v>7.45</v>
      </c>
      <c r="K25" s="62">
        <f t="shared" si="2"/>
        <v>364</v>
      </c>
      <c r="L25" s="65">
        <v>22.21</v>
      </c>
      <c r="M25" s="62">
        <f t="shared" si="3"/>
        <v>537</v>
      </c>
      <c r="N25" s="65">
        <v>3.71</v>
      </c>
      <c r="O25" s="62">
        <f t="shared" si="4"/>
        <v>244</v>
      </c>
      <c r="P25" s="65">
        <v>17.26</v>
      </c>
      <c r="Q25" s="62">
        <f t="shared" si="5"/>
        <v>238</v>
      </c>
      <c r="R25" s="66">
        <v>3</v>
      </c>
      <c r="S25" s="64">
        <v>34.08</v>
      </c>
      <c r="T25" s="62">
        <f t="shared" si="6"/>
        <v>114</v>
      </c>
      <c r="U25" s="62">
        <f t="shared" si="7"/>
        <v>1548</v>
      </c>
      <c r="V25" s="67">
        <f t="shared" si="8"/>
        <v>596</v>
      </c>
      <c r="W25" s="54"/>
      <c r="X25" s="55"/>
      <c r="Y25" s="55"/>
      <c r="Z25" s="126" t="s">
        <v>208</v>
      </c>
      <c r="AA25" s="126" t="s">
        <v>233</v>
      </c>
      <c r="AB25" s="126" t="s">
        <v>207</v>
      </c>
    </row>
    <row r="26" spans="1:28" ht="12.75">
      <c r="A26" s="60"/>
      <c r="B26" s="135" t="s">
        <v>159</v>
      </c>
      <c r="C26" s="62">
        <v>98</v>
      </c>
      <c r="D26" s="62" t="s">
        <v>98</v>
      </c>
      <c r="E26" s="63">
        <f t="shared" si="0"/>
        <v>1767</v>
      </c>
      <c r="F26" s="65">
        <v>17.17</v>
      </c>
      <c r="G26" s="62">
        <f t="shared" si="9"/>
        <v>577</v>
      </c>
      <c r="H26" s="65">
        <v>1.28</v>
      </c>
      <c r="I26" s="62">
        <f t="shared" si="1"/>
        <v>389</v>
      </c>
      <c r="J26" s="65">
        <v>5.67</v>
      </c>
      <c r="K26" s="62">
        <f t="shared" si="2"/>
        <v>250</v>
      </c>
      <c r="L26" s="65">
        <v>22.07</v>
      </c>
      <c r="M26" s="62">
        <f t="shared" si="3"/>
        <v>551</v>
      </c>
      <c r="N26" s="65" t="s">
        <v>216</v>
      </c>
      <c r="O26" s="62">
        <v>0</v>
      </c>
      <c r="P26" s="65"/>
      <c r="Q26" s="62">
        <f t="shared" si="5"/>
        <v>0</v>
      </c>
      <c r="R26" s="66"/>
      <c r="S26" s="64"/>
      <c r="T26" s="62">
        <f t="shared" si="6"/>
        <v>0</v>
      </c>
      <c r="U26" s="62">
        <f t="shared" si="7"/>
        <v>1767</v>
      </c>
      <c r="V26" s="67">
        <f t="shared" si="8"/>
        <v>0</v>
      </c>
      <c r="W26" s="54"/>
      <c r="X26" s="55"/>
      <c r="Y26" s="55"/>
      <c r="Z26" s="126" t="s">
        <v>208</v>
      </c>
      <c r="AA26" s="126" t="s">
        <v>233</v>
      </c>
      <c r="AB26" s="126"/>
    </row>
    <row r="27" spans="1:28" ht="12.75">
      <c r="A27" s="60"/>
      <c r="B27" s="54" t="s">
        <v>166</v>
      </c>
      <c r="C27" s="55">
        <v>97</v>
      </c>
      <c r="D27" s="55" t="s">
        <v>89</v>
      </c>
      <c r="E27" s="63">
        <f t="shared" si="0"/>
        <v>1553</v>
      </c>
      <c r="F27" s="65">
        <v>19.3</v>
      </c>
      <c r="G27" s="62">
        <f t="shared" si="9"/>
        <v>363</v>
      </c>
      <c r="H27" s="65">
        <v>1.28</v>
      </c>
      <c r="I27" s="62">
        <f t="shared" si="1"/>
        <v>389</v>
      </c>
      <c r="J27" s="65">
        <v>7.24</v>
      </c>
      <c r="K27" s="62">
        <f t="shared" si="2"/>
        <v>350</v>
      </c>
      <c r="L27" s="65">
        <v>23.11</v>
      </c>
      <c r="M27" s="62">
        <f t="shared" si="3"/>
        <v>451</v>
      </c>
      <c r="N27" s="65" t="s">
        <v>216</v>
      </c>
      <c r="O27" s="62">
        <v>0</v>
      </c>
      <c r="P27" s="65"/>
      <c r="Q27" s="62">
        <f t="shared" si="5"/>
        <v>0</v>
      </c>
      <c r="R27" s="66"/>
      <c r="S27" s="64"/>
      <c r="T27" s="62">
        <f t="shared" si="6"/>
        <v>0</v>
      </c>
      <c r="U27" s="62">
        <f t="shared" si="7"/>
        <v>1553</v>
      </c>
      <c r="V27" s="67">
        <f t="shared" si="8"/>
        <v>0</v>
      </c>
      <c r="W27" s="54"/>
      <c r="X27" s="55"/>
      <c r="Y27" s="55"/>
      <c r="Z27" s="126" t="s">
        <v>208</v>
      </c>
      <c r="AA27" s="126" t="s">
        <v>233</v>
      </c>
      <c r="AB27" s="126"/>
    </row>
    <row r="28" spans="1:28" ht="12.75">
      <c r="A28" s="60"/>
      <c r="B28" s="212" t="s">
        <v>154</v>
      </c>
      <c r="C28" s="214" t="s">
        <v>101</v>
      </c>
      <c r="D28" s="213" t="s">
        <v>89</v>
      </c>
      <c r="E28" s="63">
        <f t="shared" si="0"/>
        <v>1109</v>
      </c>
      <c r="F28" s="65" t="s">
        <v>209</v>
      </c>
      <c r="G28" s="62">
        <v>0</v>
      </c>
      <c r="H28" s="65">
        <v>1.16</v>
      </c>
      <c r="I28" s="62">
        <f t="shared" si="1"/>
        <v>275</v>
      </c>
      <c r="J28" s="65">
        <v>6.76</v>
      </c>
      <c r="K28" s="62">
        <f t="shared" si="2"/>
        <v>320</v>
      </c>
      <c r="L28" s="65">
        <v>22.44</v>
      </c>
      <c r="M28" s="62">
        <f t="shared" si="3"/>
        <v>514</v>
      </c>
      <c r="N28" s="65" t="s">
        <v>216</v>
      </c>
      <c r="O28" s="62">
        <v>0</v>
      </c>
      <c r="P28" s="65"/>
      <c r="Q28" s="62">
        <f t="shared" si="5"/>
        <v>0</v>
      </c>
      <c r="R28" s="66"/>
      <c r="S28" s="64"/>
      <c r="T28" s="62">
        <f t="shared" si="6"/>
        <v>0</v>
      </c>
      <c r="U28" s="62">
        <f t="shared" si="7"/>
        <v>1109</v>
      </c>
      <c r="V28" s="67">
        <f t="shared" si="8"/>
        <v>0</v>
      </c>
      <c r="W28" s="127"/>
      <c r="X28" s="52"/>
      <c r="Y28" s="52"/>
      <c r="Z28" s="126" t="s">
        <v>207</v>
      </c>
      <c r="AA28" s="126" t="s">
        <v>207</v>
      </c>
      <c r="AB28" s="126"/>
    </row>
    <row r="29" spans="1:28" ht="12.75">
      <c r="A29" s="81"/>
      <c r="B29" s="139"/>
      <c r="C29" s="140"/>
      <c r="D29" s="140"/>
      <c r="E29" s="141"/>
      <c r="F29" s="142"/>
      <c r="G29" s="140"/>
      <c r="H29" s="142"/>
      <c r="I29" s="140"/>
      <c r="J29" s="142"/>
      <c r="K29" s="140"/>
      <c r="L29" s="142"/>
      <c r="M29" s="140"/>
      <c r="N29" s="142"/>
      <c r="O29" s="140"/>
      <c r="P29" s="142"/>
      <c r="Q29" s="140"/>
      <c r="R29" s="143"/>
      <c r="S29" s="142"/>
      <c r="T29" s="140"/>
      <c r="U29" s="140"/>
      <c r="V29" s="143"/>
      <c r="W29" s="32"/>
      <c r="X29" s="32"/>
      <c r="Y29" s="30"/>
      <c r="Z29" s="144"/>
      <c r="AA29" s="144"/>
      <c r="AB29" s="144"/>
    </row>
    <row r="30" spans="1:28" ht="12.75">
      <c r="A30" s="161" t="s">
        <v>52</v>
      </c>
      <c r="B30" s="32"/>
      <c r="C30" s="32"/>
      <c r="D30" s="30"/>
      <c r="E30" s="141"/>
      <c r="F30" s="142"/>
      <c r="G30" s="140"/>
      <c r="H30" s="142"/>
      <c r="I30" s="140"/>
      <c r="J30" s="142"/>
      <c r="K30" s="140"/>
      <c r="L30" s="142"/>
      <c r="M30" s="140"/>
      <c r="N30" s="142"/>
      <c r="O30" s="140"/>
      <c r="P30" s="142"/>
      <c r="Q30" s="140"/>
      <c r="R30" s="143"/>
      <c r="S30" s="142"/>
      <c r="T30" s="140"/>
      <c r="U30" s="140"/>
      <c r="V30" s="143"/>
      <c r="W30" s="32"/>
      <c r="X30" s="32"/>
      <c r="Y30" s="30"/>
      <c r="Z30" s="144"/>
      <c r="AA30" s="144"/>
      <c r="AB30" s="144"/>
    </row>
    <row r="31" spans="1:28" ht="12.75">
      <c r="A31" s="60" t="s">
        <v>58</v>
      </c>
      <c r="B31" s="54" t="s">
        <v>221</v>
      </c>
      <c r="C31" s="55">
        <v>98</v>
      </c>
      <c r="D31" s="55" t="s">
        <v>54</v>
      </c>
      <c r="E31" s="63">
        <f aca="true" t="shared" si="10" ref="E31:E37">G31+I31+K31+M31+O31+Q31+T31</f>
        <v>610</v>
      </c>
      <c r="F31" s="138"/>
      <c r="G31" s="62">
        <f aca="true" t="shared" si="11" ref="G31:G37">IF(F31&lt;&gt;0,INT(9.23076*(26.7-F31)^1.835),0)</f>
        <v>0</v>
      </c>
      <c r="H31" s="65">
        <v>1.49</v>
      </c>
      <c r="I31" s="62">
        <f aca="true" t="shared" si="12" ref="I31:I37">IF(H31&lt;&gt;0,INT(1.84523*((H31*100)-75)^1.348),0)</f>
        <v>610</v>
      </c>
      <c r="J31" s="65"/>
      <c r="K31" s="62">
        <f aca="true" t="shared" si="13" ref="K31:K37">IF(J31&lt;&gt;0,INT(56.0211*(J31-1.5)^1.05),0)</f>
        <v>0</v>
      </c>
      <c r="L31" s="65"/>
      <c r="M31" s="62">
        <f aca="true" t="shared" si="14" ref="M31:M37">IF(L31&lt;&gt;0,INT(8.65059*(32-L31)^1.81),0)</f>
        <v>0</v>
      </c>
      <c r="N31" s="65"/>
      <c r="O31" s="62">
        <f aca="true" t="shared" si="15" ref="O31:O37">IF(N31&lt;&gt;0,INT(0.188807*((N31*100)-210)^1.41),0)</f>
        <v>0</v>
      </c>
      <c r="P31" s="65"/>
      <c r="Q31" s="62">
        <f aca="true" t="shared" si="16" ref="Q31:Q37">IF(P31&lt;&gt;0,INT(15.9803*(P31-3.8)^1.04),0)</f>
        <v>0</v>
      </c>
      <c r="R31" s="67"/>
      <c r="S31" s="65"/>
      <c r="T31" s="62">
        <f aca="true" t="shared" si="17" ref="T31:T37">IF(R31+S31&lt;&gt;0,INT(0.11193*(254-((R31*60)+S31))^1.88),0)</f>
        <v>0</v>
      </c>
      <c r="U31" s="62">
        <f aca="true" t="shared" si="18" ref="U31:U37">G31+I31+K31+M31</f>
        <v>610</v>
      </c>
      <c r="V31" s="67">
        <f aca="true" t="shared" si="19" ref="V31:V37">O31+Q31+T31</f>
        <v>0</v>
      </c>
      <c r="W31" s="54"/>
      <c r="X31" s="54"/>
      <c r="Y31" s="54"/>
      <c r="Z31" s="54"/>
      <c r="AA31" s="126"/>
      <c r="AB31" s="126" t="s">
        <v>219</v>
      </c>
    </row>
    <row r="32" spans="1:28" ht="12.75">
      <c r="A32" s="60" t="s">
        <v>58</v>
      </c>
      <c r="B32" s="54" t="s">
        <v>222</v>
      </c>
      <c r="C32" s="55">
        <v>96</v>
      </c>
      <c r="D32" s="55" t="s">
        <v>54</v>
      </c>
      <c r="E32" s="63">
        <f t="shared" si="10"/>
        <v>512</v>
      </c>
      <c r="F32" s="138"/>
      <c r="G32" s="62">
        <f t="shared" si="11"/>
        <v>0</v>
      </c>
      <c r="H32" s="65">
        <v>1.4</v>
      </c>
      <c r="I32" s="62">
        <f t="shared" si="12"/>
        <v>512</v>
      </c>
      <c r="J32" s="65"/>
      <c r="K32" s="62">
        <f t="shared" si="13"/>
        <v>0</v>
      </c>
      <c r="L32" s="65"/>
      <c r="M32" s="62">
        <f t="shared" si="14"/>
        <v>0</v>
      </c>
      <c r="N32" s="65"/>
      <c r="O32" s="62">
        <f t="shared" si="15"/>
        <v>0</v>
      </c>
      <c r="P32" s="65"/>
      <c r="Q32" s="62">
        <f t="shared" si="16"/>
        <v>0</v>
      </c>
      <c r="R32" s="67"/>
      <c r="S32" s="65"/>
      <c r="T32" s="62">
        <f t="shared" si="17"/>
        <v>0</v>
      </c>
      <c r="U32" s="62">
        <f t="shared" si="18"/>
        <v>512</v>
      </c>
      <c r="V32" s="67">
        <f t="shared" si="19"/>
        <v>0</v>
      </c>
      <c r="W32" s="54"/>
      <c r="X32" s="54"/>
      <c r="Y32" s="54"/>
      <c r="Z32" s="54"/>
      <c r="AA32" s="126"/>
      <c r="AB32" s="126"/>
    </row>
    <row r="33" spans="1:28" ht="12.75">
      <c r="A33" s="60" t="s">
        <v>58</v>
      </c>
      <c r="B33" s="54" t="s">
        <v>223</v>
      </c>
      <c r="C33" s="55">
        <v>96</v>
      </c>
      <c r="D33" s="55" t="s">
        <v>54</v>
      </c>
      <c r="E33" s="63">
        <f t="shared" si="10"/>
        <v>512</v>
      </c>
      <c r="F33" s="138"/>
      <c r="G33" s="62">
        <f t="shared" si="11"/>
        <v>0</v>
      </c>
      <c r="H33" s="65">
        <v>1.4</v>
      </c>
      <c r="I33" s="62">
        <f t="shared" si="12"/>
        <v>512</v>
      </c>
      <c r="J33" s="65"/>
      <c r="K33" s="62">
        <f t="shared" si="13"/>
        <v>0</v>
      </c>
      <c r="L33" s="65"/>
      <c r="M33" s="62">
        <f t="shared" si="14"/>
        <v>0</v>
      </c>
      <c r="N33" s="65"/>
      <c r="O33" s="62">
        <f t="shared" si="15"/>
        <v>0</v>
      </c>
      <c r="P33" s="65"/>
      <c r="Q33" s="62">
        <f t="shared" si="16"/>
        <v>0</v>
      </c>
      <c r="R33" s="67"/>
      <c r="S33" s="65"/>
      <c r="T33" s="62">
        <f t="shared" si="17"/>
        <v>0</v>
      </c>
      <c r="U33" s="62">
        <f t="shared" si="18"/>
        <v>512</v>
      </c>
      <c r="V33" s="67">
        <f t="shared" si="19"/>
        <v>0</v>
      </c>
      <c r="W33" s="54"/>
      <c r="X33" s="54"/>
      <c r="Y33" s="54"/>
      <c r="Z33" s="54"/>
      <c r="AA33" s="126"/>
      <c r="AB33" s="126"/>
    </row>
    <row r="34" spans="1:28" ht="12.75">
      <c r="A34" s="60" t="s">
        <v>58</v>
      </c>
      <c r="B34" s="54" t="s">
        <v>224</v>
      </c>
      <c r="C34" s="55">
        <v>95</v>
      </c>
      <c r="D34" s="55" t="s">
        <v>54</v>
      </c>
      <c r="E34" s="63">
        <f t="shared" si="10"/>
        <v>736</v>
      </c>
      <c r="F34" s="138"/>
      <c r="G34" s="62">
        <f t="shared" si="11"/>
        <v>0</v>
      </c>
      <c r="H34" s="65">
        <v>1.6</v>
      </c>
      <c r="I34" s="62">
        <f t="shared" si="12"/>
        <v>736</v>
      </c>
      <c r="J34" s="65"/>
      <c r="K34" s="62">
        <f t="shared" si="13"/>
        <v>0</v>
      </c>
      <c r="L34" s="65"/>
      <c r="M34" s="62">
        <f t="shared" si="14"/>
        <v>0</v>
      </c>
      <c r="N34" s="65"/>
      <c r="O34" s="62">
        <f t="shared" si="15"/>
        <v>0</v>
      </c>
      <c r="P34" s="65"/>
      <c r="Q34" s="62">
        <f t="shared" si="16"/>
        <v>0</v>
      </c>
      <c r="R34" s="67"/>
      <c r="S34" s="65"/>
      <c r="T34" s="62">
        <f t="shared" si="17"/>
        <v>0</v>
      </c>
      <c r="U34" s="62">
        <f t="shared" si="18"/>
        <v>736</v>
      </c>
      <c r="V34" s="67">
        <f t="shared" si="19"/>
        <v>0</v>
      </c>
      <c r="W34" s="54"/>
      <c r="X34" s="54"/>
      <c r="Y34" s="54"/>
      <c r="Z34" s="54"/>
      <c r="AA34" s="126"/>
      <c r="AB34" s="126"/>
    </row>
    <row r="35" spans="1:28" ht="12.75">
      <c r="A35" s="60" t="s">
        <v>58</v>
      </c>
      <c r="B35" s="54" t="s">
        <v>142</v>
      </c>
      <c r="C35" s="55">
        <v>95</v>
      </c>
      <c r="D35" s="55" t="s">
        <v>98</v>
      </c>
      <c r="E35" s="63">
        <f t="shared" si="10"/>
        <v>639</v>
      </c>
      <c r="F35" s="138"/>
      <c r="G35" s="62">
        <f t="shared" si="11"/>
        <v>0</v>
      </c>
      <c r="H35" s="65"/>
      <c r="I35" s="62">
        <f t="shared" si="12"/>
        <v>0</v>
      </c>
      <c r="J35" s="65"/>
      <c r="K35" s="62">
        <f t="shared" si="13"/>
        <v>0</v>
      </c>
      <c r="L35" s="65">
        <v>21.22</v>
      </c>
      <c r="M35" s="62">
        <f t="shared" si="14"/>
        <v>639</v>
      </c>
      <c r="N35" s="65"/>
      <c r="O35" s="62">
        <f t="shared" si="15"/>
        <v>0</v>
      </c>
      <c r="P35" s="65"/>
      <c r="Q35" s="62">
        <f t="shared" si="16"/>
        <v>0</v>
      </c>
      <c r="R35" s="67"/>
      <c r="S35" s="65"/>
      <c r="T35" s="62">
        <f t="shared" si="17"/>
        <v>0</v>
      </c>
      <c r="U35" s="62">
        <f t="shared" si="18"/>
        <v>639</v>
      </c>
      <c r="V35" s="67">
        <f t="shared" si="19"/>
        <v>0</v>
      </c>
      <c r="W35" s="54"/>
      <c r="X35" s="54"/>
      <c r="Y35" s="54"/>
      <c r="Z35" s="54"/>
      <c r="AA35" s="126" t="s">
        <v>234</v>
      </c>
      <c r="AB35" s="126"/>
    </row>
    <row r="36" spans="1:28" ht="12.75">
      <c r="A36" s="60" t="s">
        <v>58</v>
      </c>
      <c r="B36" s="54" t="s">
        <v>225</v>
      </c>
      <c r="C36" s="55">
        <v>94</v>
      </c>
      <c r="D36" s="55" t="s">
        <v>98</v>
      </c>
      <c r="E36" s="63">
        <f t="shared" si="10"/>
        <v>738</v>
      </c>
      <c r="F36" s="138"/>
      <c r="G36" s="62">
        <f t="shared" si="11"/>
        <v>0</v>
      </c>
      <c r="H36" s="65"/>
      <c r="I36" s="62">
        <f t="shared" si="12"/>
        <v>0</v>
      </c>
      <c r="J36" s="65"/>
      <c r="K36" s="62">
        <f t="shared" si="13"/>
        <v>0</v>
      </c>
      <c r="L36" s="65">
        <v>20.33</v>
      </c>
      <c r="M36" s="62">
        <f t="shared" si="14"/>
        <v>738</v>
      </c>
      <c r="N36" s="65"/>
      <c r="O36" s="62">
        <f t="shared" si="15"/>
        <v>0</v>
      </c>
      <c r="P36" s="65"/>
      <c r="Q36" s="62">
        <f t="shared" si="16"/>
        <v>0</v>
      </c>
      <c r="R36" s="67"/>
      <c r="S36" s="65"/>
      <c r="T36" s="62">
        <f t="shared" si="17"/>
        <v>0</v>
      </c>
      <c r="U36" s="62">
        <f t="shared" si="18"/>
        <v>738</v>
      </c>
      <c r="V36" s="67">
        <f t="shared" si="19"/>
        <v>0</v>
      </c>
      <c r="W36" s="54"/>
      <c r="X36" s="54"/>
      <c r="Y36" s="54"/>
      <c r="Z36" s="54"/>
      <c r="AA36" s="126" t="s">
        <v>234</v>
      </c>
      <c r="AB36" s="126"/>
    </row>
    <row r="37" spans="1:28" ht="12.75">
      <c r="A37" s="60" t="s">
        <v>58</v>
      </c>
      <c r="B37" s="54" t="s">
        <v>221</v>
      </c>
      <c r="C37" s="55">
        <v>98</v>
      </c>
      <c r="D37" s="55" t="s">
        <v>54</v>
      </c>
      <c r="E37" s="63">
        <f t="shared" si="10"/>
        <v>1133</v>
      </c>
      <c r="F37" s="138"/>
      <c r="G37" s="62">
        <f t="shared" si="11"/>
        <v>0</v>
      </c>
      <c r="H37" s="65"/>
      <c r="I37" s="62">
        <f t="shared" si="12"/>
        <v>0</v>
      </c>
      <c r="J37" s="65"/>
      <c r="K37" s="62">
        <f t="shared" si="13"/>
        <v>0</v>
      </c>
      <c r="L37" s="65">
        <v>21.14</v>
      </c>
      <c r="M37" s="62">
        <f t="shared" si="14"/>
        <v>648</v>
      </c>
      <c r="N37" s="65">
        <v>4.72</v>
      </c>
      <c r="O37" s="62">
        <f t="shared" si="15"/>
        <v>485</v>
      </c>
      <c r="P37" s="65"/>
      <c r="Q37" s="62">
        <f t="shared" si="16"/>
        <v>0</v>
      </c>
      <c r="R37" s="67"/>
      <c r="S37" s="65"/>
      <c r="T37" s="62">
        <f t="shared" si="17"/>
        <v>0</v>
      </c>
      <c r="U37" s="62">
        <f t="shared" si="18"/>
        <v>648</v>
      </c>
      <c r="V37" s="67">
        <f t="shared" si="19"/>
        <v>485</v>
      </c>
      <c r="W37" s="54"/>
      <c r="X37" s="54"/>
      <c r="Y37" s="54"/>
      <c r="Z37" s="54"/>
      <c r="AA37" s="126" t="s">
        <v>234</v>
      </c>
      <c r="AB37" s="126"/>
    </row>
    <row r="38" spans="1:28" ht="12.75">
      <c r="A38" s="32"/>
      <c r="B38" s="32"/>
      <c r="C38" s="32"/>
      <c r="D38" s="30"/>
      <c r="E38" s="28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28"/>
      <c r="S38" s="31"/>
      <c r="T38" s="30"/>
      <c r="U38" s="32"/>
      <c r="V38" s="32"/>
      <c r="W38" s="32"/>
      <c r="X38" s="32"/>
      <c r="Y38" s="30"/>
      <c r="Z38" s="32"/>
      <c r="AA38" s="32"/>
      <c r="AB38" s="32"/>
    </row>
    <row r="39" spans="1:28" ht="12.75">
      <c r="A39" s="81"/>
      <c r="B39" s="32"/>
      <c r="C39" s="32"/>
      <c r="D39" s="30"/>
      <c r="E39" s="141"/>
      <c r="F39" s="142"/>
      <c r="G39" s="140"/>
      <c r="H39" s="142"/>
      <c r="I39" s="140"/>
      <c r="J39" s="142"/>
      <c r="K39" s="140"/>
      <c r="L39" s="142"/>
      <c r="M39" s="140"/>
      <c r="N39" s="142"/>
      <c r="O39" s="140"/>
      <c r="P39" s="142"/>
      <c r="Q39" s="140"/>
      <c r="R39" s="143"/>
      <c r="S39" s="142"/>
      <c r="T39" s="140"/>
      <c r="U39" s="140"/>
      <c r="V39" s="143"/>
      <c r="W39" s="32"/>
      <c r="X39" s="32"/>
      <c r="Y39" s="30"/>
      <c r="Z39" s="144"/>
      <c r="AA39" s="144"/>
      <c r="AB39" s="144"/>
    </row>
  </sheetData>
  <sheetProtection/>
  <mergeCells count="2">
    <mergeCell ref="R3:S3"/>
    <mergeCell ref="A1:V1"/>
  </mergeCells>
  <printOptions horizontalCentered="1"/>
  <pageMargins left="0.4724409448818898" right="0.5118110236220472" top="0.8267716535433072" bottom="0.8267716535433072" header="0.4330708661417323" footer="0.5118110236220472"/>
  <pageSetup horizontalDpi="300" verticalDpi="300" orientation="landscape" paperSize="9" r:id="rId1"/>
  <headerFooter alignWithMargins="0">
    <oddHeader>&amp;LMistrovství Morava a Slezska ve vícebojích&amp;C17. ročník Třineckých atletických vícebojů&amp;RTřinec 9.-10.6.2012
</oddHeader>
    <oddFooter>&amp;LHlavní rozhodčí: Krzystek Jiří&amp;RŘeditel závodu: Szmeková Emilie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showGridLines="0" zoomScalePageLayoutView="0" workbookViewId="0" topLeftCell="A1">
      <pane xSplit="5" ySplit="4" topLeftCell="F5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A8" sqref="A8"/>
    </sheetView>
  </sheetViews>
  <sheetFormatPr defaultColWidth="9.00390625" defaultRowHeight="12.75"/>
  <cols>
    <col min="1" max="1" width="4.125" style="3" customWidth="1"/>
    <col min="2" max="2" width="18.75390625" style="104" customWidth="1"/>
    <col min="3" max="3" width="3.75390625" style="106" customWidth="1"/>
    <col min="4" max="4" width="7.625" style="3" bestFit="1" customWidth="1"/>
    <col min="5" max="5" width="7.25390625" style="4" customWidth="1"/>
    <col min="6" max="6" width="5.625" style="2" bestFit="1" customWidth="1"/>
    <col min="7" max="7" width="4.00390625" style="3" bestFit="1" customWidth="1"/>
    <col min="8" max="8" width="6.625" style="2" bestFit="1" customWidth="1"/>
    <col min="9" max="9" width="4.00390625" style="3" bestFit="1" customWidth="1"/>
    <col min="10" max="10" width="5.625" style="2" bestFit="1" customWidth="1"/>
    <col min="11" max="11" width="4.00390625" style="3" bestFit="1" customWidth="1"/>
    <col min="12" max="12" width="5.625" style="2" customWidth="1"/>
    <col min="13" max="13" width="5.00390625" style="3" customWidth="1"/>
    <col min="14" max="14" width="5.375" style="2" customWidth="1"/>
    <col min="15" max="15" width="5.00390625" style="3" customWidth="1"/>
    <col min="16" max="16" width="5.625" style="2" customWidth="1"/>
    <col min="17" max="17" width="5.00390625" style="0" customWidth="1"/>
    <col min="18" max="18" width="2.00390625" style="4" customWidth="1"/>
    <col min="19" max="19" width="5.625" style="2" customWidth="1"/>
    <col min="20" max="20" width="5.00390625" style="0" customWidth="1"/>
    <col min="21" max="22" width="6.125" style="3" customWidth="1"/>
    <col min="23" max="23" width="18.75390625" style="3" customWidth="1"/>
    <col min="24" max="24" width="3.75390625" style="0" customWidth="1"/>
    <col min="25" max="25" width="7.625" style="0" customWidth="1"/>
    <col min="26" max="28" width="6.75390625" style="0" customWidth="1"/>
  </cols>
  <sheetData>
    <row r="1" spans="1:28" ht="20.25">
      <c r="A1" s="286" t="s">
        <v>16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110" t="s">
        <v>62</v>
      </c>
      <c r="X1" s="77"/>
      <c r="Y1" s="77"/>
      <c r="Z1" s="77"/>
      <c r="AA1" s="77"/>
      <c r="AB1" s="77"/>
    </row>
    <row r="2" spans="23:28" ht="13.5" customHeight="1" thickBot="1">
      <c r="W2" s="47"/>
      <c r="X2" s="77"/>
      <c r="Y2" s="77"/>
      <c r="Z2" s="77"/>
      <c r="AA2" s="77"/>
      <c r="AB2" s="77"/>
    </row>
    <row r="3" spans="1:28" ht="66" customHeight="1" thickBot="1">
      <c r="A3" s="33" t="s">
        <v>9</v>
      </c>
      <c r="B3" s="11" t="s">
        <v>8</v>
      </c>
      <c r="C3" s="125" t="s">
        <v>42</v>
      </c>
      <c r="D3" s="11" t="s">
        <v>43</v>
      </c>
      <c r="E3" s="34" t="s">
        <v>12</v>
      </c>
      <c r="F3" s="14" t="s">
        <v>48</v>
      </c>
      <c r="G3" s="13" t="s">
        <v>10</v>
      </c>
      <c r="H3" s="14" t="s">
        <v>3</v>
      </c>
      <c r="I3" s="13" t="s">
        <v>10</v>
      </c>
      <c r="J3" s="14" t="s">
        <v>1</v>
      </c>
      <c r="K3" s="13" t="s">
        <v>10</v>
      </c>
      <c r="L3" s="14" t="s">
        <v>50</v>
      </c>
      <c r="M3" s="13" t="s">
        <v>10</v>
      </c>
      <c r="N3" s="14" t="s">
        <v>2</v>
      </c>
      <c r="O3" s="13" t="s">
        <v>10</v>
      </c>
      <c r="P3" s="14" t="s">
        <v>6</v>
      </c>
      <c r="Q3" s="13" t="s">
        <v>10</v>
      </c>
      <c r="R3" s="291" t="s">
        <v>29</v>
      </c>
      <c r="S3" s="291"/>
      <c r="T3" s="13" t="s">
        <v>10</v>
      </c>
      <c r="U3" s="13" t="s">
        <v>7</v>
      </c>
      <c r="V3" s="15" t="s">
        <v>11</v>
      </c>
      <c r="W3" s="11" t="s">
        <v>8</v>
      </c>
      <c r="X3" s="125" t="s">
        <v>42</v>
      </c>
      <c r="Y3" s="11" t="s">
        <v>43</v>
      </c>
      <c r="Z3" s="109" t="s">
        <v>63</v>
      </c>
      <c r="AA3" s="109" t="s">
        <v>65</v>
      </c>
      <c r="AB3" s="109" t="s">
        <v>60</v>
      </c>
    </row>
    <row r="4" spans="1:23" ht="15" customHeight="1" hidden="1">
      <c r="A4" s="16"/>
      <c r="B4" s="105"/>
      <c r="C4" s="107"/>
      <c r="D4" s="18"/>
      <c r="E4" s="48">
        <f>G4+I4+K4+M4+O4+Q4+T4</f>
        <v>3439</v>
      </c>
      <c r="F4" s="19">
        <v>17.74</v>
      </c>
      <c r="G4" s="18">
        <f>IF(F4&lt;&gt;0,INT(9.23076*(26.7-F4)^1.835),0)</f>
        <v>516</v>
      </c>
      <c r="H4" s="19">
        <v>1.34</v>
      </c>
      <c r="I4" s="18">
        <f>IF(H4&lt;&gt;0,INT(1.84523*((H4*100)-75)^1.348),0)</f>
        <v>449</v>
      </c>
      <c r="J4" s="19">
        <v>9.41</v>
      </c>
      <c r="K4" s="18">
        <f>IF(J4&lt;&gt;0,INT(56.0211*(J4-1.5)^1.05),0)</f>
        <v>491</v>
      </c>
      <c r="L4" s="19">
        <v>28.64</v>
      </c>
      <c r="M4" s="18">
        <f>IF(L4&lt;&gt;0,INT(4.99087*(42.5-L4)^1.81),0)</f>
        <v>581</v>
      </c>
      <c r="N4" s="19">
        <v>4.65</v>
      </c>
      <c r="O4" s="18">
        <f>IF(N4&lt;&gt;0,INT(0.188807*((N4*100)-210)^1.41),0)</f>
        <v>466</v>
      </c>
      <c r="P4" s="19">
        <v>27.46</v>
      </c>
      <c r="Q4" s="18">
        <f>IF(P4&lt;&gt;0,INT(15.9803*(P4-3.8)^1.04),0)</f>
        <v>429</v>
      </c>
      <c r="R4" s="20">
        <v>2</v>
      </c>
      <c r="S4" s="19">
        <v>45.9</v>
      </c>
      <c r="T4" s="18">
        <f>IF(R4+S4&lt;&gt;0,INT(0.11193*(254-((R4*60)+S4))^1.88),0)</f>
        <v>507</v>
      </c>
      <c r="U4" s="37">
        <f>G4+I4+K4+M4</f>
        <v>2037</v>
      </c>
      <c r="V4" s="37">
        <f>O4+Q4+T4</f>
        <v>1402</v>
      </c>
      <c r="W4"/>
    </row>
    <row r="5" spans="1:28" s="40" customFormat="1" ht="12.75">
      <c r="A5" s="36" t="s">
        <v>18</v>
      </c>
      <c r="B5" s="212" t="s">
        <v>202</v>
      </c>
      <c r="C5" s="214" t="s">
        <v>144</v>
      </c>
      <c r="D5" s="213" t="s">
        <v>203</v>
      </c>
      <c r="E5" s="61">
        <f>G5+I5+K5+M5+O5+Q5+T5</f>
        <v>4199</v>
      </c>
      <c r="F5" s="114">
        <v>15.46</v>
      </c>
      <c r="G5" s="59">
        <f>IF(F5&lt;&gt;0,INT(9.23076*(26.7-F5)^1.835),0)</f>
        <v>782</v>
      </c>
      <c r="H5" s="114">
        <v>1.55</v>
      </c>
      <c r="I5" s="59">
        <f>IF(H5&lt;&gt;0,INT(1.84523*((H5*100)-75)^1.348),0)</f>
        <v>678</v>
      </c>
      <c r="J5" s="114">
        <v>9.5</v>
      </c>
      <c r="K5" s="59">
        <f>IF(J5&lt;&gt;0,INT(56.0211*(J5-1.5)^1.05),0)</f>
        <v>497</v>
      </c>
      <c r="L5" s="114">
        <v>27.81</v>
      </c>
      <c r="M5" s="59">
        <f>IF(L5&lt;&gt;0,INT(4.99087*(42.5-L5)^1.81),0)</f>
        <v>646</v>
      </c>
      <c r="N5" s="114">
        <v>4.83</v>
      </c>
      <c r="O5" s="59">
        <f>IF(N5&lt;&gt;0,INT(0.188807*((N5*100)-210)^1.41),0)</f>
        <v>514</v>
      </c>
      <c r="P5" s="114">
        <v>29.86</v>
      </c>
      <c r="Q5" s="59">
        <f>IF(P5&lt;&gt;0,INT(15.9803*(P5-3.8)^1.04),0)</f>
        <v>474</v>
      </c>
      <c r="R5" s="130">
        <v>2</v>
      </c>
      <c r="S5" s="57">
        <v>36.98</v>
      </c>
      <c r="T5" s="59">
        <f>IF(R5+S5&lt;&gt;0,INT(0.11193*(254-((R5*60)+S5))^1.88),0)</f>
        <v>608</v>
      </c>
      <c r="U5" s="60">
        <f>G5+I5+K5+M5</f>
        <v>2603</v>
      </c>
      <c r="V5" s="60">
        <f>O5+Q5+T5</f>
        <v>1596</v>
      </c>
      <c r="W5" s="127"/>
      <c r="X5" s="128"/>
      <c r="Y5" s="129"/>
      <c r="Z5" s="126" t="s">
        <v>207</v>
      </c>
      <c r="AA5" s="126" t="s">
        <v>232</v>
      </c>
      <c r="AB5" s="126" t="s">
        <v>240</v>
      </c>
    </row>
    <row r="6" spans="1:28" s="40" customFormat="1" ht="12.75">
      <c r="A6" s="36" t="s">
        <v>19</v>
      </c>
      <c r="B6" s="212" t="s">
        <v>145</v>
      </c>
      <c r="C6" s="214" t="s">
        <v>144</v>
      </c>
      <c r="D6" s="213" t="s">
        <v>54</v>
      </c>
      <c r="E6" s="61">
        <f>G6+I6+K6+M6+O6+Q6+T6</f>
        <v>3340</v>
      </c>
      <c r="F6" s="114">
        <v>16.27</v>
      </c>
      <c r="G6" s="59">
        <f>IF(F6&lt;&gt;0,INT(9.23076*(26.7-F6)^1.835),0)</f>
        <v>682</v>
      </c>
      <c r="H6" s="114">
        <v>1.43</v>
      </c>
      <c r="I6" s="59">
        <f>IF(H6&lt;&gt;0,INT(1.84523*((H6*100)-75)^1.348),0)</f>
        <v>544</v>
      </c>
      <c r="J6" s="114">
        <v>8.14</v>
      </c>
      <c r="K6" s="59">
        <f>IF(J6&lt;&gt;0,INT(56.0211*(J6-1.5)^1.05),0)</f>
        <v>408</v>
      </c>
      <c r="L6" s="114">
        <v>27.57</v>
      </c>
      <c r="M6" s="59">
        <f>IF(L6&lt;&gt;0,INT(4.99087*(42.5-L6)^1.81),0)</f>
        <v>665</v>
      </c>
      <c r="N6" s="114">
        <v>4.54</v>
      </c>
      <c r="O6" s="59">
        <f>IF(N6&lt;&gt;0,INT(0.188807*((N6*100)-210)^1.41),0)</f>
        <v>438</v>
      </c>
      <c r="P6" s="114">
        <v>16.27</v>
      </c>
      <c r="Q6" s="59">
        <f>IF(P6&lt;&gt;0,INT(15.9803*(P6-3.8)^1.04),0)</f>
        <v>220</v>
      </c>
      <c r="R6" s="130">
        <v>2</v>
      </c>
      <c r="S6" s="57">
        <v>58.13</v>
      </c>
      <c r="T6" s="59">
        <f>IF(R6+S6&lt;&gt;0,INT(0.11193*(254-((R6*60)+S6))^1.88),0)</f>
        <v>383</v>
      </c>
      <c r="U6" s="60">
        <f>G6+I6+K6+M6</f>
        <v>2299</v>
      </c>
      <c r="V6" s="60">
        <f>O6+Q6+T6</f>
        <v>1041</v>
      </c>
      <c r="W6" s="127"/>
      <c r="X6" s="128"/>
      <c r="Y6" s="129"/>
      <c r="Z6" s="126" t="s">
        <v>207</v>
      </c>
      <c r="AA6" s="126" t="s">
        <v>232</v>
      </c>
      <c r="AB6" s="126" t="s">
        <v>207</v>
      </c>
    </row>
    <row r="7" spans="1:28" s="40" customFormat="1" ht="12.75">
      <c r="A7" s="36" t="s">
        <v>20</v>
      </c>
      <c r="B7" s="212" t="s">
        <v>143</v>
      </c>
      <c r="C7" s="214" t="s">
        <v>144</v>
      </c>
      <c r="D7" s="213" t="s">
        <v>80</v>
      </c>
      <c r="E7" s="61">
        <f>G7+I7+K7+M7+O7+Q7+T7</f>
        <v>2307</v>
      </c>
      <c r="F7" s="114">
        <v>21.4</v>
      </c>
      <c r="G7" s="59">
        <f>IF(F7&lt;&gt;0,INT(9.23076*(26.7-F7)^1.835),0)</f>
        <v>196</v>
      </c>
      <c r="H7" s="114">
        <v>1.19</v>
      </c>
      <c r="I7" s="59">
        <f>IF(H7&lt;&gt;0,INT(1.84523*((H7*100)-75)^1.348),0)</f>
        <v>302</v>
      </c>
      <c r="J7" s="114">
        <v>6.75</v>
      </c>
      <c r="K7" s="59">
        <f>IF(J7&lt;&gt;0,INT(56.0211*(J7-1.5)^1.05),0)</f>
        <v>319</v>
      </c>
      <c r="L7" s="114">
        <v>27.53</v>
      </c>
      <c r="M7" s="59">
        <f>IF(L7&lt;&gt;0,INT(4.99087*(42.5-L7)^1.81),0)</f>
        <v>668</v>
      </c>
      <c r="N7" s="114">
        <v>4.26</v>
      </c>
      <c r="O7" s="59">
        <f>IF(N7&lt;&gt;0,INT(0.188807*((N7*100)-210)^1.41),0)</f>
        <v>369</v>
      </c>
      <c r="P7" s="114">
        <v>13.2</v>
      </c>
      <c r="Q7" s="59">
        <f>IF(P7&lt;&gt;0,INT(15.9803*(P7-3.8)^1.04),0)</f>
        <v>164</v>
      </c>
      <c r="R7" s="130">
        <v>3</v>
      </c>
      <c r="S7" s="57">
        <v>8.64</v>
      </c>
      <c r="T7" s="59">
        <f>IF(R7+S7&lt;&gt;0,INT(0.11193*(254-((R7*60)+S7))^1.88),0)</f>
        <v>289</v>
      </c>
      <c r="U7" s="60">
        <f>G7+I7+K7+M7</f>
        <v>1485</v>
      </c>
      <c r="V7" s="60">
        <f>O7+Q7+T7</f>
        <v>822</v>
      </c>
      <c r="W7" s="127"/>
      <c r="X7" s="128"/>
      <c r="Y7" s="129"/>
      <c r="Z7" s="126" t="s">
        <v>207</v>
      </c>
      <c r="AA7" s="126" t="s">
        <v>232</v>
      </c>
      <c r="AB7" s="126" t="s">
        <v>207</v>
      </c>
    </row>
    <row r="8" spans="1:28" s="40" customFormat="1" ht="12.75">
      <c r="A8" s="36"/>
      <c r="B8" s="212" t="s">
        <v>142</v>
      </c>
      <c r="C8" s="214" t="s">
        <v>132</v>
      </c>
      <c r="D8" s="213" t="s">
        <v>98</v>
      </c>
      <c r="E8" s="61">
        <f>G8+I8+K8+M8+O8+Q8+T8</f>
        <v>1280</v>
      </c>
      <c r="F8" s="114">
        <v>15.82</v>
      </c>
      <c r="G8" s="59">
        <f>IF(F8&lt;&gt;0,INT(9.23076*(26.7-F8)^1.835),0)</f>
        <v>736</v>
      </c>
      <c r="H8" s="114">
        <v>1.43</v>
      </c>
      <c r="I8" s="59">
        <f>IF(H8&lt;&gt;0,INT(1.84523*((H8*100)-75)^1.348),0)</f>
        <v>544</v>
      </c>
      <c r="J8" s="114" t="s">
        <v>216</v>
      </c>
      <c r="K8" s="59">
        <v>0</v>
      </c>
      <c r="L8" s="114" t="s">
        <v>216</v>
      </c>
      <c r="M8" s="59">
        <v>0</v>
      </c>
      <c r="N8" s="114"/>
      <c r="O8" s="59">
        <f>IF(N8&lt;&gt;0,INT(0.188807*((N8*100)-210)^1.41),0)</f>
        <v>0</v>
      </c>
      <c r="P8" s="114"/>
      <c r="Q8" s="59">
        <f>IF(P8&lt;&gt;0,INT(15.9803*(P8-3.8)^1.04),0)</f>
        <v>0</v>
      </c>
      <c r="R8" s="130"/>
      <c r="S8" s="57"/>
      <c r="T8" s="59">
        <f>IF(R8+S8&lt;&gt;0,INT(0.11193*(254-((R8*60)+S8))^1.88),0)</f>
        <v>0</v>
      </c>
      <c r="U8" s="60">
        <f>G8+I8+K8+M8</f>
        <v>1280</v>
      </c>
      <c r="V8" s="60">
        <f>O8+Q8+T8</f>
        <v>0</v>
      </c>
      <c r="W8" s="127"/>
      <c r="X8" s="128"/>
      <c r="Y8" s="129"/>
      <c r="Z8" s="126" t="s">
        <v>207</v>
      </c>
      <c r="AA8" s="126" t="s">
        <v>232</v>
      </c>
      <c r="AB8" s="126"/>
    </row>
    <row r="9" spans="1:28" s="40" customFormat="1" ht="12.75">
      <c r="A9" s="29"/>
      <c r="B9" s="77"/>
      <c r="C9" s="77"/>
      <c r="D9" s="77"/>
      <c r="E9" s="84"/>
      <c r="F9" s="254"/>
      <c r="G9" s="79"/>
      <c r="H9" s="254"/>
      <c r="I9" s="79"/>
      <c r="J9" s="254"/>
      <c r="K9" s="79"/>
      <c r="L9" s="254"/>
      <c r="M9" s="79"/>
      <c r="N9" s="254"/>
      <c r="O9" s="79"/>
      <c r="P9" s="254"/>
      <c r="Q9" s="79"/>
      <c r="R9" s="46"/>
      <c r="S9" s="78"/>
      <c r="T9" s="79"/>
      <c r="U9" s="81"/>
      <c r="V9" s="81"/>
      <c r="W9" s="255"/>
      <c r="X9" s="256"/>
      <c r="Y9" s="47"/>
      <c r="Z9" s="144"/>
      <c r="AA9" s="144"/>
      <c r="AB9" s="144"/>
    </row>
    <row r="10" ht="12.75">
      <c r="A10" s="131" t="s">
        <v>52</v>
      </c>
    </row>
    <row r="11" spans="1:28" s="40" customFormat="1" ht="12.75">
      <c r="A11" s="36" t="s">
        <v>58</v>
      </c>
      <c r="B11" s="127"/>
      <c r="C11" s="52"/>
      <c r="D11" s="129"/>
      <c r="E11" s="61">
        <f>G11+I11+K11+M11+O11+Q11+T11</f>
        <v>0</v>
      </c>
      <c r="F11" s="57"/>
      <c r="G11" s="59">
        <f>IF(F11&lt;&gt;0,INT(9.23076*(26.7-F11)^1.835),0)</f>
        <v>0</v>
      </c>
      <c r="H11" s="57"/>
      <c r="I11" s="59">
        <f>IF(H11&lt;&gt;0,INT(1.84523*((H11*100)-75)^1.348),0)</f>
        <v>0</v>
      </c>
      <c r="J11" s="57"/>
      <c r="K11" s="59">
        <f>IF(J11&lt;&gt;0,INT(56.0211*(J11-1.5)^1.05),0)</f>
        <v>0</v>
      </c>
      <c r="L11" s="57"/>
      <c r="M11" s="59">
        <f>IF(L11&lt;&gt;0,INT(4.99087*(42.5-L11)^1.81),0)</f>
        <v>0</v>
      </c>
      <c r="N11" s="57"/>
      <c r="O11" s="59">
        <f>IF(N11&lt;&gt;0,INT(0.188807*((N11*100)-210)^1.41),0)</f>
        <v>0</v>
      </c>
      <c r="P11" s="57"/>
      <c r="Q11" s="59">
        <f>IF(P11&lt;&gt;0,INT(15.9803*(P11-3.8)^1.04),0)</f>
        <v>0</v>
      </c>
      <c r="R11" s="130"/>
      <c r="S11" s="57"/>
      <c r="T11" s="59">
        <f>IF(R11+S11&lt;&gt;0,INT(0.11193*(254-((R11*60)+S11))^1.88),0)</f>
        <v>0</v>
      </c>
      <c r="U11" s="60">
        <f>G11+I11+K11+M11</f>
        <v>0</v>
      </c>
      <c r="V11" s="60">
        <f>O11+Q11+T11</f>
        <v>0</v>
      </c>
      <c r="W11" s="127"/>
      <c r="X11" s="52"/>
      <c r="Y11" s="129"/>
      <c r="Z11" s="126"/>
      <c r="AA11" s="126"/>
      <c r="AB11" s="126"/>
    </row>
    <row r="13" spans="1:28" ht="20.25">
      <c r="A13" s="286" t="s">
        <v>74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110" t="s">
        <v>62</v>
      </c>
      <c r="X13" s="40"/>
      <c r="Y13" s="40"/>
      <c r="Z13" s="40"/>
      <c r="AA13" s="40"/>
      <c r="AB13" s="40"/>
    </row>
    <row r="14" spans="1:28" ht="13.5" thickBot="1">
      <c r="A14" s="43"/>
      <c r="B14" s="40"/>
      <c r="C14" s="40"/>
      <c r="D14" s="40"/>
      <c r="E14" s="44"/>
      <c r="F14" s="45"/>
      <c r="G14" s="43"/>
      <c r="H14" s="45"/>
      <c r="I14" s="43"/>
      <c r="J14" s="45"/>
      <c r="K14" s="43"/>
      <c r="L14" s="45"/>
      <c r="M14" s="43"/>
      <c r="N14" s="45"/>
      <c r="O14" s="43"/>
      <c r="P14" s="45"/>
      <c r="Q14" s="40"/>
      <c r="R14" s="44"/>
      <c r="S14" s="45"/>
      <c r="T14" s="40"/>
      <c r="U14" s="43"/>
      <c r="V14" s="43"/>
      <c r="W14" s="43"/>
      <c r="X14" s="40"/>
      <c r="Y14" s="40"/>
      <c r="Z14" s="40"/>
      <c r="AA14" s="40"/>
      <c r="AB14" s="40"/>
    </row>
    <row r="15" spans="1:28" ht="66" customHeight="1" thickBot="1">
      <c r="A15" s="82" t="s">
        <v>9</v>
      </c>
      <c r="B15" s="115" t="s">
        <v>8</v>
      </c>
      <c r="C15" s="116" t="s">
        <v>42</v>
      </c>
      <c r="D15" s="82" t="s">
        <v>43</v>
      </c>
      <c r="E15" s="35" t="s">
        <v>12</v>
      </c>
      <c r="F15" s="12" t="s">
        <v>48</v>
      </c>
      <c r="G15" s="13" t="s">
        <v>10</v>
      </c>
      <c r="H15" s="14" t="s">
        <v>3</v>
      </c>
      <c r="I15" s="13" t="s">
        <v>10</v>
      </c>
      <c r="J15" s="14" t="s">
        <v>1</v>
      </c>
      <c r="K15" s="13" t="s">
        <v>10</v>
      </c>
      <c r="L15" s="14" t="s">
        <v>50</v>
      </c>
      <c r="M15" s="13" t="s">
        <v>10</v>
      </c>
      <c r="N15" s="14" t="s">
        <v>2</v>
      </c>
      <c r="O15" s="13" t="s">
        <v>10</v>
      </c>
      <c r="P15" s="14" t="s">
        <v>6</v>
      </c>
      <c r="Q15" s="13" t="s">
        <v>10</v>
      </c>
      <c r="R15" s="292" t="s">
        <v>29</v>
      </c>
      <c r="S15" s="293"/>
      <c r="T15" s="117" t="s">
        <v>10</v>
      </c>
      <c r="U15" s="83" t="s">
        <v>7</v>
      </c>
      <c r="V15" s="118" t="s">
        <v>11</v>
      </c>
      <c r="W15" s="11" t="s">
        <v>8</v>
      </c>
      <c r="X15" s="125" t="s">
        <v>42</v>
      </c>
      <c r="Y15" s="11" t="s">
        <v>43</v>
      </c>
      <c r="Z15" s="109" t="s">
        <v>63</v>
      </c>
      <c r="AA15" s="109" t="s">
        <v>65</v>
      </c>
      <c r="AB15" s="109" t="s">
        <v>60</v>
      </c>
    </row>
    <row r="16" spans="1:28" ht="12.75" customHeight="1" hidden="1">
      <c r="A16" s="119"/>
      <c r="B16" s="120"/>
      <c r="C16" s="121"/>
      <c r="D16" s="121"/>
      <c r="E16" s="122">
        <f>G16+I16+K16+M16+O16+Q16+T16</f>
        <v>3439</v>
      </c>
      <c r="F16" s="123">
        <v>17.74</v>
      </c>
      <c r="G16" s="121">
        <f>IF(F16&lt;&gt;0,INT(9.23076*(26.7-F16)^1.835),0)</f>
        <v>516</v>
      </c>
      <c r="H16" s="123">
        <v>1.34</v>
      </c>
      <c r="I16" s="121">
        <f>IF(H16&lt;&gt;0,INT(1.84523*((H16*100)-75)^1.348),0)</f>
        <v>449</v>
      </c>
      <c r="J16" s="123">
        <v>9.41</v>
      </c>
      <c r="K16" s="121">
        <f>IF(J16&lt;&gt;0,INT(56.0211*(J16-1.5)^1.05),0)</f>
        <v>491</v>
      </c>
      <c r="L16" s="123">
        <v>28.64</v>
      </c>
      <c r="M16" s="121">
        <f>IF(L16&lt;&gt;0,INT(4.99087*(42.5-L16)^1.81),0)</f>
        <v>581</v>
      </c>
      <c r="N16" s="123">
        <v>4.65</v>
      </c>
      <c r="O16" s="121">
        <f>IF(N16&lt;&gt;0,INT(0.188807*((N16*100)-210)^1.41),0)</f>
        <v>466</v>
      </c>
      <c r="P16" s="123">
        <v>27.46</v>
      </c>
      <c r="Q16" s="121">
        <f>IF(P16&lt;&gt;0,INT(15.9803*(P16-3.8)^1.04),0)</f>
        <v>429</v>
      </c>
      <c r="R16" s="124">
        <v>2</v>
      </c>
      <c r="S16" s="123">
        <v>45.9</v>
      </c>
      <c r="T16" s="121">
        <f>IF(R16+S16&lt;&gt;0,INT(0.11193*(254-((R16*60)+S16))^1.88),0)</f>
        <v>507</v>
      </c>
      <c r="U16" s="119">
        <f>G16+I16+K16+M16</f>
        <v>2037</v>
      </c>
      <c r="V16" s="119">
        <f>O16+Q16+T16</f>
        <v>1402</v>
      </c>
      <c r="W16" s="40"/>
      <c r="X16" s="40"/>
      <c r="Y16" s="40"/>
      <c r="Z16" s="40"/>
      <c r="AA16" s="40"/>
      <c r="AB16" s="40"/>
    </row>
    <row r="17" spans="1:28" s="40" customFormat="1" ht="12.75">
      <c r="A17" s="36" t="s">
        <v>18</v>
      </c>
      <c r="B17" s="212" t="s">
        <v>131</v>
      </c>
      <c r="C17" s="214" t="s">
        <v>132</v>
      </c>
      <c r="D17" s="213" t="s">
        <v>133</v>
      </c>
      <c r="E17" s="61">
        <f>G17+I17+K17+M17+O17+Q17+T17</f>
        <v>4918</v>
      </c>
      <c r="F17" s="53">
        <v>15.33</v>
      </c>
      <c r="G17" s="59">
        <f>IF(F17&lt;&gt;0,INT(9.23076*(26.7-F17)^1.835),0)</f>
        <v>799</v>
      </c>
      <c r="H17" s="53">
        <v>1.55</v>
      </c>
      <c r="I17" s="59">
        <f>IF(H17&lt;&gt;0,INT(1.84523*((H17*100)-75)^1.348),0)</f>
        <v>678</v>
      </c>
      <c r="J17" s="53">
        <v>12.22</v>
      </c>
      <c r="K17" s="59">
        <f>IF(J17&lt;&gt;0,INT(56.0211*(J17-1.5)^1.05),0)</f>
        <v>676</v>
      </c>
      <c r="L17" s="53">
        <v>27.02</v>
      </c>
      <c r="M17" s="59">
        <f>IF(L17&lt;&gt;0,INT(4.99087*(42.5-L17)^1.81),0)</f>
        <v>710</v>
      </c>
      <c r="N17" s="53">
        <v>4.89</v>
      </c>
      <c r="O17" s="59">
        <f>IF(N17&lt;&gt;0,INT(0.188807*((N17*100)-210)^1.41),0)</f>
        <v>530</v>
      </c>
      <c r="P17" s="53">
        <v>47.03</v>
      </c>
      <c r="Q17" s="59">
        <f>IF(P17&lt;&gt;0,INT(15.9803*(P17-3.8)^1.04),0)</f>
        <v>803</v>
      </c>
      <c r="R17" s="56">
        <v>2</v>
      </c>
      <c r="S17" s="80">
        <v>27.68</v>
      </c>
      <c r="T17" s="59">
        <f>IF(R17+S17&lt;&gt;0,INT(0.11193*(254-((R17*60)+S17))^1.88),0)</f>
        <v>722</v>
      </c>
      <c r="U17" s="60">
        <f>G17+I17+K17+M17</f>
        <v>2863</v>
      </c>
      <c r="V17" s="60">
        <f>O17+Q17+T17</f>
        <v>2055</v>
      </c>
      <c r="W17" s="52"/>
      <c r="X17" s="51"/>
      <c r="Y17" s="51"/>
      <c r="Z17" s="126" t="s">
        <v>207</v>
      </c>
      <c r="AA17" s="126" t="s">
        <v>232</v>
      </c>
      <c r="AB17" s="126" t="s">
        <v>219</v>
      </c>
    </row>
    <row r="18" spans="1:28" s="40" customFormat="1" ht="12.75">
      <c r="A18" s="36" t="s">
        <v>19</v>
      </c>
      <c r="B18" s="212" t="s">
        <v>136</v>
      </c>
      <c r="C18" s="214" t="s">
        <v>137</v>
      </c>
      <c r="D18" s="213" t="s">
        <v>138</v>
      </c>
      <c r="E18" s="61">
        <f>G18+I18+K18+M18+O18+Q18+T18</f>
        <v>4688</v>
      </c>
      <c r="F18" s="53">
        <v>15.06</v>
      </c>
      <c r="G18" s="59">
        <f>IF(F18&lt;&gt;0,INT(9.23076*(26.7-F18)^1.835),0)</f>
        <v>834</v>
      </c>
      <c r="H18" s="53">
        <v>1.7</v>
      </c>
      <c r="I18" s="59">
        <f>IF(H18&lt;&gt;0,INT(1.84523*((H18*100)-75)^1.348),0)</f>
        <v>855</v>
      </c>
      <c r="J18" s="53">
        <v>11.26</v>
      </c>
      <c r="K18" s="59">
        <f>IF(J18&lt;&gt;0,INT(56.0211*(J18-1.5)^1.05),0)</f>
        <v>612</v>
      </c>
      <c r="L18" s="53">
        <v>26.71</v>
      </c>
      <c r="M18" s="59">
        <f>IF(L18&lt;&gt;0,INT(4.99087*(42.5-L18)^1.81),0)</f>
        <v>736</v>
      </c>
      <c r="N18" s="53">
        <v>5.19</v>
      </c>
      <c r="O18" s="59">
        <f>IF(N18&lt;&gt;0,INT(0.188807*((N18*100)-210)^1.41),0)</f>
        <v>612</v>
      </c>
      <c r="P18" s="53">
        <v>22.79</v>
      </c>
      <c r="Q18" s="59">
        <f>IF(P18&lt;&gt;0,INT(15.9803*(P18-3.8)^1.04),0)</f>
        <v>341</v>
      </c>
      <c r="R18" s="56">
        <v>2</v>
      </c>
      <c r="S18" s="80">
        <v>29.63</v>
      </c>
      <c r="T18" s="59">
        <f>IF(R18+S18&lt;&gt;0,INT(0.11193*(254-((R18*60)+S18))^1.88),0)</f>
        <v>698</v>
      </c>
      <c r="U18" s="60">
        <f>G18+I18+K18+M18</f>
        <v>3037</v>
      </c>
      <c r="V18" s="60">
        <f>O18+Q18+T18</f>
        <v>1651</v>
      </c>
      <c r="W18" s="52"/>
      <c r="X18" s="51"/>
      <c r="Y18" s="51"/>
      <c r="Z18" s="126" t="s">
        <v>207</v>
      </c>
      <c r="AA18" s="126" t="s">
        <v>232</v>
      </c>
      <c r="AB18" s="126" t="s">
        <v>240</v>
      </c>
    </row>
    <row r="19" spans="1:28" s="40" customFormat="1" ht="12.75">
      <c r="A19" s="36" t="s">
        <v>20</v>
      </c>
      <c r="B19" s="212" t="s">
        <v>134</v>
      </c>
      <c r="C19" s="214" t="s">
        <v>135</v>
      </c>
      <c r="D19" s="213" t="s">
        <v>54</v>
      </c>
      <c r="E19" s="61">
        <f>G19+I19+K19+M19+O19+Q19+T19</f>
        <v>3869</v>
      </c>
      <c r="F19" s="53">
        <v>17.62</v>
      </c>
      <c r="G19" s="59">
        <f>IF(F19&lt;&gt;0,INT(9.23076*(26.7-F19)^1.835),0)</f>
        <v>528</v>
      </c>
      <c r="H19" s="53">
        <v>1.4</v>
      </c>
      <c r="I19" s="59">
        <f>IF(H19&lt;&gt;0,INT(1.84523*((H19*100)-75)^1.348),0)</f>
        <v>512</v>
      </c>
      <c r="J19" s="53">
        <v>10.78</v>
      </c>
      <c r="K19" s="59">
        <f>IF(J19&lt;&gt;0,INT(56.0211*(J19-1.5)^1.05),0)</f>
        <v>581</v>
      </c>
      <c r="L19" s="53">
        <v>28.61</v>
      </c>
      <c r="M19" s="59">
        <f>IF(L19&lt;&gt;0,INT(4.99087*(42.5-L19)^1.81),0)</f>
        <v>584</v>
      </c>
      <c r="N19" s="53">
        <v>4.72</v>
      </c>
      <c r="O19" s="59">
        <f>IF(N19&lt;&gt;0,INT(0.188807*((N19*100)-210)^1.41),0)</f>
        <v>485</v>
      </c>
      <c r="P19" s="53">
        <v>34.47</v>
      </c>
      <c r="Q19" s="59">
        <f>IF(P19&lt;&gt;0,INT(15.9803*(P19-3.8)^1.04),0)</f>
        <v>562</v>
      </c>
      <c r="R19" s="56">
        <v>2</v>
      </c>
      <c r="S19" s="80">
        <v>36.18</v>
      </c>
      <c r="T19" s="59">
        <f>IF(R19+S19&lt;&gt;0,INT(0.11193*(254-((R19*60)+S19))^1.88),0)</f>
        <v>617</v>
      </c>
      <c r="U19" s="60">
        <f>G19+I19+K19+M19</f>
        <v>2205</v>
      </c>
      <c r="V19" s="60">
        <f>O19+Q19+T19</f>
        <v>1664</v>
      </c>
      <c r="W19" s="52"/>
      <c r="X19" s="51"/>
      <c r="Y19" s="51"/>
      <c r="Z19" s="126" t="s">
        <v>207</v>
      </c>
      <c r="AA19" s="126" t="s">
        <v>232</v>
      </c>
      <c r="AB19" s="126" t="s">
        <v>219</v>
      </c>
    </row>
    <row r="20" spans="1:28" s="40" customFormat="1" ht="12.75">
      <c r="A20" s="36" t="s">
        <v>21</v>
      </c>
      <c r="B20" s="212" t="s">
        <v>139</v>
      </c>
      <c r="C20" s="214" t="s">
        <v>140</v>
      </c>
      <c r="D20" s="213" t="s">
        <v>141</v>
      </c>
      <c r="E20" s="61">
        <f>G20+I20+K20+M20+O20+Q20+T20</f>
        <v>3736</v>
      </c>
      <c r="F20" s="53">
        <v>16.63</v>
      </c>
      <c r="G20" s="59">
        <f>IF(F20&lt;&gt;0,INT(9.23076*(26.7-F20)^1.835),0)</f>
        <v>639</v>
      </c>
      <c r="H20" s="53">
        <v>1.49</v>
      </c>
      <c r="I20" s="59">
        <f>IF(H20&lt;&gt;0,INT(1.84523*((H20*100)-75)^1.348),0)</f>
        <v>610</v>
      </c>
      <c r="J20" s="53">
        <v>10.32</v>
      </c>
      <c r="K20" s="59">
        <f>IF(J20&lt;&gt;0,INT(56.0211*(J20-1.5)^1.05),0)</f>
        <v>550</v>
      </c>
      <c r="L20" s="53">
        <v>28.82</v>
      </c>
      <c r="M20" s="59">
        <f>IF(L20&lt;&gt;0,INT(4.99087*(42.5-L20)^1.81),0)</f>
        <v>568</v>
      </c>
      <c r="N20" s="53">
        <v>4.6</v>
      </c>
      <c r="O20" s="59">
        <f>IF(N20&lt;&gt;0,INT(0.188807*((N20*100)-210)^1.41),0)</f>
        <v>454</v>
      </c>
      <c r="P20" s="53">
        <v>25.77</v>
      </c>
      <c r="Q20" s="59">
        <f>IF(P20&lt;&gt;0,INT(15.9803*(P20-3.8)^1.04),0)</f>
        <v>397</v>
      </c>
      <c r="R20" s="56">
        <v>2</v>
      </c>
      <c r="S20" s="80">
        <v>44.93</v>
      </c>
      <c r="T20" s="59">
        <f>IF(R20+S20&lt;&gt;0,INT(0.11193*(254-((R20*60)+S20))^1.88),0)</f>
        <v>518</v>
      </c>
      <c r="U20" s="60">
        <f>G20+I20+K20+M20</f>
        <v>2367</v>
      </c>
      <c r="V20" s="60">
        <f>O20+Q20+T20</f>
        <v>1369</v>
      </c>
      <c r="W20" s="52"/>
      <c r="X20" s="51"/>
      <c r="Y20" s="51"/>
      <c r="Z20" s="126" t="s">
        <v>207</v>
      </c>
      <c r="AA20" s="126" t="s">
        <v>232</v>
      </c>
      <c r="AB20" s="126" t="s">
        <v>217</v>
      </c>
    </row>
    <row r="21" spans="1:28" s="40" customFormat="1" ht="12.75">
      <c r="A21" s="29"/>
      <c r="B21" s="250"/>
      <c r="C21" s="251"/>
      <c r="D21" s="252"/>
      <c r="E21" s="84"/>
      <c r="F21" s="78"/>
      <c r="G21" s="79"/>
      <c r="H21" s="78"/>
      <c r="I21" s="79"/>
      <c r="J21" s="78"/>
      <c r="K21" s="79"/>
      <c r="L21" s="78"/>
      <c r="M21" s="79"/>
      <c r="N21" s="78"/>
      <c r="O21" s="79"/>
      <c r="P21" s="78"/>
      <c r="Q21" s="79"/>
      <c r="R21" s="46"/>
      <c r="S21" s="253"/>
      <c r="T21" s="79"/>
      <c r="U21" s="81"/>
      <c r="V21" s="81"/>
      <c r="W21" s="47"/>
      <c r="X21" s="77"/>
      <c r="Y21" s="77"/>
      <c r="Z21" s="144"/>
      <c r="AA21" s="144"/>
      <c r="AB21" s="144"/>
    </row>
    <row r="22" ht="12.75">
      <c r="A22" s="131" t="s">
        <v>52</v>
      </c>
    </row>
    <row r="23" spans="1:28" ht="12.75">
      <c r="A23" s="36" t="s">
        <v>58</v>
      </c>
      <c r="B23" s="127"/>
      <c r="C23" s="52"/>
      <c r="D23" s="129"/>
      <c r="E23" s="61">
        <f>G23+I23+K23+M23+O23+Q23+T23</f>
        <v>0</v>
      </c>
      <c r="F23" s="57"/>
      <c r="G23" s="59">
        <f>IF(F23&lt;&gt;0,INT(9.23076*(26.7-F23)^1.835),0)</f>
        <v>0</v>
      </c>
      <c r="H23" s="57"/>
      <c r="I23" s="59">
        <f>IF(H23&lt;&gt;0,INT(1.84523*((H23*100)-75)^1.348),0)</f>
        <v>0</v>
      </c>
      <c r="J23" s="57"/>
      <c r="K23" s="59">
        <f>IF(J23&lt;&gt;0,INT(56.0211*(J23-1.5)^1.05),0)</f>
        <v>0</v>
      </c>
      <c r="L23" s="57"/>
      <c r="M23" s="59">
        <f>IF(L23&lt;&gt;0,INT(4.99087*(42.5-L23)^1.81),0)</f>
        <v>0</v>
      </c>
      <c r="N23" s="57"/>
      <c r="O23" s="59">
        <f>IF(N23&lt;&gt;0,INT(0.188807*((N23*100)-210)^1.41),0)</f>
        <v>0</v>
      </c>
      <c r="P23" s="57"/>
      <c r="Q23" s="59">
        <f>IF(P23&lt;&gt;0,INT(15.9803*(P23-3.8)^1.04),0)</f>
        <v>0</v>
      </c>
      <c r="R23" s="130"/>
      <c r="S23" s="57"/>
      <c r="T23" s="59">
        <f>IF(R23+S23&lt;&gt;0,INT(0.11193*(254-((R23*60)+S23))^1.88),0)</f>
        <v>0</v>
      </c>
      <c r="U23" s="60">
        <f>G23+I23+K23+M23</f>
        <v>0</v>
      </c>
      <c r="V23" s="60">
        <f>O23+Q23+T23</f>
        <v>0</v>
      </c>
      <c r="W23" s="127"/>
      <c r="X23" s="52"/>
      <c r="Y23" s="129"/>
      <c r="Z23" s="126"/>
      <c r="AA23" s="126"/>
      <c r="AB23" s="126"/>
    </row>
  </sheetData>
  <sheetProtection/>
  <mergeCells count="4">
    <mergeCell ref="R3:S3"/>
    <mergeCell ref="A1:V1"/>
    <mergeCell ref="A13:V13"/>
    <mergeCell ref="R15:S1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&amp;LMistrovství Moravy a Slezska ve vícebojích&amp;C17. ročník Třineckých atletických vícebojů&amp;RTřinec 9.-10.6.2012</oddHeader>
    <oddFooter>&amp;LHlavní rozhodčí: Krzystek Jiří&amp;RŘeditel závodu: Szmeková Emilie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F45" sqref="F45"/>
    </sheetView>
  </sheetViews>
  <sheetFormatPr defaultColWidth="9.00390625" defaultRowHeight="12.75"/>
  <cols>
    <col min="1" max="1" width="5.25390625" style="0" customWidth="1"/>
    <col min="2" max="2" width="25.25390625" style="0" customWidth="1"/>
    <col min="3" max="3" width="5.125" style="3" customWidth="1"/>
    <col min="4" max="4" width="9.875" style="3" customWidth="1"/>
    <col min="5" max="5" width="9.875" style="0" customWidth="1"/>
    <col min="6" max="6" width="7.00390625" style="0" customWidth="1"/>
    <col min="7" max="7" width="5.375" style="0" customWidth="1"/>
    <col min="8" max="8" width="8.75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9.00390625" style="0" customWidth="1"/>
    <col min="13" max="13" width="5.375" style="0" customWidth="1"/>
    <col min="14" max="14" width="2.125" style="0" customWidth="1"/>
    <col min="15" max="15" width="6.00390625" style="0" bestFit="1" customWidth="1"/>
    <col min="16" max="16" width="7.125" style="0" customWidth="1"/>
    <col min="17" max="17" width="15.625" style="0" customWidth="1"/>
  </cols>
  <sheetData>
    <row r="1" spans="1:22" s="162" customFormat="1" ht="20.25">
      <c r="A1" s="294" t="s">
        <v>69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110" t="s">
        <v>62</v>
      </c>
      <c r="R1" s="5"/>
      <c r="S1" s="5"/>
      <c r="T1" s="5"/>
      <c r="U1" s="5"/>
      <c r="V1" s="5"/>
    </row>
    <row r="2" spans="17:22" ht="6" customHeight="1" thickBot="1">
      <c r="Q2" s="5"/>
      <c r="R2" s="5"/>
      <c r="S2" s="5"/>
      <c r="T2" s="5"/>
      <c r="U2" s="5"/>
      <c r="V2" s="5"/>
    </row>
    <row r="3" spans="1:22" s="164" customFormat="1" ht="36" customHeight="1" thickBot="1">
      <c r="A3" s="82" t="s">
        <v>9</v>
      </c>
      <c r="B3" s="82" t="s">
        <v>8</v>
      </c>
      <c r="C3" s="82" t="s">
        <v>42</v>
      </c>
      <c r="D3" s="82" t="s">
        <v>43</v>
      </c>
      <c r="E3" s="35" t="s">
        <v>12</v>
      </c>
      <c r="F3" s="163" t="s">
        <v>70</v>
      </c>
      <c r="G3" s="83" t="s">
        <v>0</v>
      </c>
      <c r="H3" s="83" t="s">
        <v>71</v>
      </c>
      <c r="I3" s="83" t="s">
        <v>0</v>
      </c>
      <c r="J3" s="163" t="s">
        <v>28</v>
      </c>
      <c r="K3" s="83" t="s">
        <v>0</v>
      </c>
      <c r="L3" s="163" t="s">
        <v>68</v>
      </c>
      <c r="M3" s="83" t="s">
        <v>0</v>
      </c>
      <c r="N3" s="295" t="s">
        <v>29</v>
      </c>
      <c r="O3" s="295"/>
      <c r="P3" s="83" t="s">
        <v>0</v>
      </c>
      <c r="Q3" s="10" t="s">
        <v>8</v>
      </c>
      <c r="R3" s="98" t="s">
        <v>42</v>
      </c>
      <c r="S3" s="7" t="s">
        <v>43</v>
      </c>
      <c r="T3" s="109" t="s">
        <v>248</v>
      </c>
      <c r="U3" s="109" t="s">
        <v>64</v>
      </c>
      <c r="V3" s="109" t="s">
        <v>60</v>
      </c>
    </row>
    <row r="4" spans="1:22" ht="12.75" hidden="1">
      <c r="A4" s="165"/>
      <c r="B4" s="166"/>
      <c r="C4" s="167"/>
      <c r="D4" s="167"/>
      <c r="E4" s="167">
        <f aca="true" t="shared" si="0" ref="E4:E16">SUM(G4,I4,K4,M4,P4)</f>
        <v>0</v>
      </c>
      <c r="F4" s="166"/>
      <c r="G4" s="168">
        <f aca="true" t="shared" si="1" ref="G4:G16">IF(F4&lt;&gt;0,INT(20.5173*(15.5-F4)^1.92),0)</f>
        <v>0</v>
      </c>
      <c r="H4" s="166"/>
      <c r="I4" s="168">
        <f aca="true" t="shared" si="2" ref="I4:I16">IF(H4&lt;&gt;0,INT(5.33*(H4-10)^1.1),0)</f>
        <v>0</v>
      </c>
      <c r="J4" s="166"/>
      <c r="K4" s="168">
        <f aca="true" t="shared" si="3" ref="K4:K16">IF(J4&lt;&gt;0,INT(58.015*(11.5-J4)^1.81),0)</f>
        <v>0</v>
      </c>
      <c r="L4" s="166"/>
      <c r="M4" s="168">
        <f aca="true" t="shared" si="4" ref="M4:M16">IF(L4&lt;&gt;0,INT(0.14354*((L4*100)-220)^1.4),0)</f>
        <v>0</v>
      </c>
      <c r="N4" s="166"/>
      <c r="O4" s="166"/>
      <c r="P4" s="170">
        <f aca="true" t="shared" si="5" ref="P4:P15">IF(N4+O4&lt;&gt;0,INT(0.13279*(235-((N4*60)+O4))^1.85),0)</f>
        <v>0</v>
      </c>
      <c r="Q4" s="26"/>
      <c r="R4" s="5"/>
      <c r="S4" s="5"/>
      <c r="T4" s="39"/>
      <c r="U4" s="39"/>
      <c r="V4" s="39"/>
    </row>
    <row r="5" spans="1:22" ht="12.75">
      <c r="A5" s="171" t="s">
        <v>18</v>
      </c>
      <c r="B5" s="54" t="s">
        <v>128</v>
      </c>
      <c r="C5" s="55">
        <v>99</v>
      </c>
      <c r="D5" s="55" t="s">
        <v>80</v>
      </c>
      <c r="E5" s="60">
        <f t="shared" si="0"/>
        <v>2078</v>
      </c>
      <c r="F5" s="172">
        <v>10.36</v>
      </c>
      <c r="G5" s="173">
        <f t="shared" si="1"/>
        <v>475</v>
      </c>
      <c r="H5" s="172">
        <v>48.79</v>
      </c>
      <c r="I5" s="173">
        <f t="shared" si="2"/>
        <v>298</v>
      </c>
      <c r="J5" s="54">
        <v>8.24</v>
      </c>
      <c r="K5" s="173">
        <f t="shared" si="3"/>
        <v>492</v>
      </c>
      <c r="L5" s="172">
        <v>4.9</v>
      </c>
      <c r="M5" s="173">
        <f t="shared" si="4"/>
        <v>363</v>
      </c>
      <c r="N5" s="177">
        <v>2</v>
      </c>
      <c r="O5" s="174">
        <v>33.99</v>
      </c>
      <c r="P5" s="176">
        <f t="shared" si="5"/>
        <v>450</v>
      </c>
      <c r="Q5" s="54" t="s">
        <v>128</v>
      </c>
      <c r="R5" s="55">
        <v>99</v>
      </c>
      <c r="S5" s="55" t="s">
        <v>80</v>
      </c>
      <c r="T5" s="112" t="s">
        <v>217</v>
      </c>
      <c r="U5" s="112" t="s">
        <v>249</v>
      </c>
      <c r="V5" s="112" t="s">
        <v>251</v>
      </c>
    </row>
    <row r="6" spans="1:22" ht="12.75">
      <c r="A6" s="171" t="s">
        <v>19</v>
      </c>
      <c r="B6" s="178" t="s">
        <v>129</v>
      </c>
      <c r="C6" s="179">
        <v>99</v>
      </c>
      <c r="D6" s="179" t="s">
        <v>130</v>
      </c>
      <c r="E6" s="60">
        <f t="shared" si="0"/>
        <v>1866</v>
      </c>
      <c r="F6" s="180">
        <v>9.99</v>
      </c>
      <c r="G6" s="173">
        <f t="shared" si="1"/>
        <v>543</v>
      </c>
      <c r="H6" s="180">
        <v>45.13</v>
      </c>
      <c r="I6" s="173">
        <f t="shared" si="2"/>
        <v>267</v>
      </c>
      <c r="J6" s="180">
        <v>9.03</v>
      </c>
      <c r="K6" s="173">
        <f t="shared" si="3"/>
        <v>298</v>
      </c>
      <c r="L6" s="178">
        <v>4.25</v>
      </c>
      <c r="M6" s="173">
        <f t="shared" si="4"/>
        <v>247</v>
      </c>
      <c r="N6" s="181">
        <v>2</v>
      </c>
      <c r="O6" s="182">
        <v>28.25</v>
      </c>
      <c r="P6" s="176">
        <f t="shared" si="5"/>
        <v>511</v>
      </c>
      <c r="Q6" s="178" t="s">
        <v>129</v>
      </c>
      <c r="R6" s="179">
        <v>99</v>
      </c>
      <c r="S6" s="179" t="s">
        <v>130</v>
      </c>
      <c r="T6" s="112" t="s">
        <v>217</v>
      </c>
      <c r="U6" s="112" t="s">
        <v>250</v>
      </c>
      <c r="V6" s="112" t="s">
        <v>252</v>
      </c>
    </row>
    <row r="7" spans="1:22" ht="12.75">
      <c r="A7" s="171" t="s">
        <v>20</v>
      </c>
      <c r="B7" s="54" t="s">
        <v>123</v>
      </c>
      <c r="C7" s="55">
        <v>99</v>
      </c>
      <c r="D7" s="55" t="s">
        <v>80</v>
      </c>
      <c r="E7" s="60">
        <f t="shared" si="0"/>
        <v>1838</v>
      </c>
      <c r="F7" s="172">
        <v>9.92</v>
      </c>
      <c r="G7" s="173">
        <f t="shared" si="1"/>
        <v>556</v>
      </c>
      <c r="H7" s="172">
        <v>36.12</v>
      </c>
      <c r="I7" s="173">
        <f t="shared" si="2"/>
        <v>192</v>
      </c>
      <c r="J7" s="54">
        <v>8.51</v>
      </c>
      <c r="K7" s="173">
        <f t="shared" si="3"/>
        <v>421</v>
      </c>
      <c r="L7" s="54">
        <v>4.87</v>
      </c>
      <c r="M7" s="173">
        <f t="shared" si="4"/>
        <v>358</v>
      </c>
      <c r="N7" s="177">
        <v>2</v>
      </c>
      <c r="O7" s="174">
        <v>48.69</v>
      </c>
      <c r="P7" s="176">
        <f t="shared" si="5"/>
        <v>311</v>
      </c>
      <c r="Q7" s="54" t="s">
        <v>123</v>
      </c>
      <c r="R7" s="55">
        <v>99</v>
      </c>
      <c r="S7" s="55" t="s">
        <v>80</v>
      </c>
      <c r="T7" s="112" t="s">
        <v>217</v>
      </c>
      <c r="U7" s="112" t="s">
        <v>249</v>
      </c>
      <c r="V7" s="112" t="s">
        <v>231</v>
      </c>
    </row>
    <row r="8" spans="1:22" ht="12.75">
      <c r="A8" s="171" t="s">
        <v>21</v>
      </c>
      <c r="B8" s="54" t="s">
        <v>124</v>
      </c>
      <c r="C8" s="55">
        <v>0</v>
      </c>
      <c r="D8" s="55" t="s">
        <v>53</v>
      </c>
      <c r="E8" s="60">
        <f t="shared" si="0"/>
        <v>1694</v>
      </c>
      <c r="F8" s="172">
        <v>10.95</v>
      </c>
      <c r="G8" s="173">
        <f t="shared" si="1"/>
        <v>376</v>
      </c>
      <c r="H8" s="172">
        <v>53.04</v>
      </c>
      <c r="I8" s="173">
        <f t="shared" si="2"/>
        <v>334</v>
      </c>
      <c r="J8" s="54">
        <v>8.81</v>
      </c>
      <c r="K8" s="173">
        <f t="shared" si="3"/>
        <v>347</v>
      </c>
      <c r="L8" s="54">
        <v>4.98</v>
      </c>
      <c r="M8" s="173">
        <f t="shared" si="4"/>
        <v>378</v>
      </c>
      <c r="N8" s="177">
        <v>2</v>
      </c>
      <c r="O8" s="174">
        <v>54.89</v>
      </c>
      <c r="P8" s="176">
        <f t="shared" si="5"/>
        <v>259</v>
      </c>
      <c r="Q8" s="54" t="s">
        <v>124</v>
      </c>
      <c r="R8" s="55">
        <v>0</v>
      </c>
      <c r="S8" s="55" t="s">
        <v>53</v>
      </c>
      <c r="T8" s="112" t="s">
        <v>206</v>
      </c>
      <c r="U8" s="112" t="s">
        <v>249</v>
      </c>
      <c r="V8" s="112" t="s">
        <v>229</v>
      </c>
    </row>
    <row r="9" spans="1:22" ht="12.75">
      <c r="A9" s="171" t="s">
        <v>22</v>
      </c>
      <c r="B9" s="54" t="s">
        <v>120</v>
      </c>
      <c r="C9" s="55">
        <v>99</v>
      </c>
      <c r="D9" s="55" t="s">
        <v>53</v>
      </c>
      <c r="E9" s="60">
        <f t="shared" si="0"/>
        <v>1679</v>
      </c>
      <c r="F9" s="172">
        <v>10.64</v>
      </c>
      <c r="G9" s="173">
        <f t="shared" si="1"/>
        <v>427</v>
      </c>
      <c r="H9" s="172">
        <v>44.55</v>
      </c>
      <c r="I9" s="173">
        <f t="shared" si="2"/>
        <v>262</v>
      </c>
      <c r="J9" s="54">
        <v>8.66</v>
      </c>
      <c r="K9" s="173">
        <f t="shared" si="3"/>
        <v>383</v>
      </c>
      <c r="L9" s="54">
        <v>4.45</v>
      </c>
      <c r="M9" s="173">
        <f t="shared" si="4"/>
        <v>281</v>
      </c>
      <c r="N9" s="177">
        <v>2</v>
      </c>
      <c r="O9" s="174">
        <v>46.93</v>
      </c>
      <c r="P9" s="176">
        <f t="shared" si="5"/>
        <v>326</v>
      </c>
      <c r="Q9" s="54" t="s">
        <v>120</v>
      </c>
      <c r="R9" s="55">
        <v>99</v>
      </c>
      <c r="S9" s="55" t="s">
        <v>53</v>
      </c>
      <c r="T9" s="112" t="s">
        <v>217</v>
      </c>
      <c r="U9" s="112" t="s">
        <v>249</v>
      </c>
      <c r="V9" s="112" t="s">
        <v>67</v>
      </c>
    </row>
    <row r="10" spans="1:22" ht="12.75">
      <c r="A10" s="171" t="s">
        <v>23</v>
      </c>
      <c r="B10" s="54" t="s">
        <v>122</v>
      </c>
      <c r="C10" s="55">
        <v>99</v>
      </c>
      <c r="D10" s="55" t="s">
        <v>53</v>
      </c>
      <c r="E10" s="60">
        <f t="shared" si="0"/>
        <v>1646</v>
      </c>
      <c r="F10" s="172">
        <v>11.28</v>
      </c>
      <c r="G10" s="173">
        <f t="shared" si="1"/>
        <v>325</v>
      </c>
      <c r="H10" s="172">
        <v>60.49</v>
      </c>
      <c r="I10" s="173">
        <f t="shared" si="2"/>
        <v>398</v>
      </c>
      <c r="J10" s="54">
        <v>8.78</v>
      </c>
      <c r="K10" s="173">
        <f t="shared" si="3"/>
        <v>354</v>
      </c>
      <c r="L10" s="54">
        <v>4.77</v>
      </c>
      <c r="M10" s="173">
        <f t="shared" si="4"/>
        <v>339</v>
      </c>
      <c r="N10" s="177">
        <v>2</v>
      </c>
      <c r="O10" s="174">
        <v>58.58</v>
      </c>
      <c r="P10" s="175">
        <f t="shared" si="5"/>
        <v>230</v>
      </c>
      <c r="Q10" s="54" t="s">
        <v>122</v>
      </c>
      <c r="R10" s="55">
        <v>99</v>
      </c>
      <c r="S10" s="55" t="s">
        <v>53</v>
      </c>
      <c r="T10" s="112" t="s">
        <v>206</v>
      </c>
      <c r="U10" s="112" t="s">
        <v>249</v>
      </c>
      <c r="V10" s="112" t="s">
        <v>214</v>
      </c>
    </row>
    <row r="11" spans="1:22" ht="12.75">
      <c r="A11" s="171" t="s">
        <v>24</v>
      </c>
      <c r="B11" s="54" t="s">
        <v>243</v>
      </c>
      <c r="C11" s="55">
        <v>99</v>
      </c>
      <c r="D11" s="55" t="s">
        <v>80</v>
      </c>
      <c r="E11" s="60">
        <f t="shared" si="0"/>
        <v>1606</v>
      </c>
      <c r="F11" s="172">
        <v>10.8</v>
      </c>
      <c r="G11" s="173">
        <f t="shared" si="1"/>
        <v>400</v>
      </c>
      <c r="H11" s="172">
        <v>49.36</v>
      </c>
      <c r="I11" s="173">
        <f t="shared" si="2"/>
        <v>302</v>
      </c>
      <c r="J11" s="54">
        <v>8.84</v>
      </c>
      <c r="K11" s="173">
        <f t="shared" si="3"/>
        <v>340</v>
      </c>
      <c r="L11" s="54">
        <v>3.96</v>
      </c>
      <c r="M11" s="173">
        <f t="shared" si="4"/>
        <v>199</v>
      </c>
      <c r="N11" s="177">
        <v>2</v>
      </c>
      <c r="O11" s="174">
        <v>42.69</v>
      </c>
      <c r="P11" s="175">
        <f t="shared" si="5"/>
        <v>365</v>
      </c>
      <c r="Q11" s="54" t="s">
        <v>243</v>
      </c>
      <c r="R11" s="55">
        <v>99</v>
      </c>
      <c r="S11" s="55" t="s">
        <v>80</v>
      </c>
      <c r="T11" s="112" t="s">
        <v>217</v>
      </c>
      <c r="U11" s="112" t="s">
        <v>250</v>
      </c>
      <c r="V11" s="112" t="s">
        <v>226</v>
      </c>
    </row>
    <row r="12" spans="1:22" ht="12.75">
      <c r="A12" s="171" t="s">
        <v>25</v>
      </c>
      <c r="B12" s="54" t="s">
        <v>125</v>
      </c>
      <c r="C12" s="55">
        <v>99</v>
      </c>
      <c r="D12" s="55" t="s">
        <v>126</v>
      </c>
      <c r="E12" s="60">
        <f t="shared" si="0"/>
        <v>1471</v>
      </c>
      <c r="F12" s="172">
        <v>10.88</v>
      </c>
      <c r="G12" s="173">
        <f t="shared" si="1"/>
        <v>387</v>
      </c>
      <c r="H12" s="172">
        <v>43.43</v>
      </c>
      <c r="I12" s="173">
        <f t="shared" si="2"/>
        <v>253</v>
      </c>
      <c r="J12" s="54">
        <v>9.04</v>
      </c>
      <c r="K12" s="173">
        <f t="shared" si="3"/>
        <v>295</v>
      </c>
      <c r="L12" s="54">
        <v>4.52</v>
      </c>
      <c r="M12" s="173">
        <f t="shared" si="4"/>
        <v>294</v>
      </c>
      <c r="N12" s="177">
        <v>2</v>
      </c>
      <c r="O12" s="174">
        <v>57.05</v>
      </c>
      <c r="P12" s="175">
        <f t="shared" si="5"/>
        <v>242</v>
      </c>
      <c r="Q12" s="54" t="s">
        <v>125</v>
      </c>
      <c r="R12" s="55">
        <v>99</v>
      </c>
      <c r="S12" s="55" t="s">
        <v>126</v>
      </c>
      <c r="T12" s="112" t="s">
        <v>217</v>
      </c>
      <c r="U12" s="112" t="s">
        <v>250</v>
      </c>
      <c r="V12" s="112" t="s">
        <v>226</v>
      </c>
    </row>
    <row r="13" spans="1:22" ht="12.75">
      <c r="A13" s="171" t="s">
        <v>26</v>
      </c>
      <c r="B13" s="54" t="s">
        <v>119</v>
      </c>
      <c r="C13" s="55">
        <v>0</v>
      </c>
      <c r="D13" s="55" t="s">
        <v>104</v>
      </c>
      <c r="E13" s="60">
        <f t="shared" si="0"/>
        <v>1378</v>
      </c>
      <c r="F13" s="172">
        <v>11.33</v>
      </c>
      <c r="G13" s="173">
        <f t="shared" si="1"/>
        <v>318</v>
      </c>
      <c r="H13" s="172">
        <v>38.92</v>
      </c>
      <c r="I13" s="173">
        <f t="shared" si="2"/>
        <v>215</v>
      </c>
      <c r="J13" s="54">
        <v>8.91</v>
      </c>
      <c r="K13" s="173">
        <f t="shared" si="3"/>
        <v>324</v>
      </c>
      <c r="L13" s="54">
        <v>4.12</v>
      </c>
      <c r="M13" s="173">
        <f t="shared" si="4"/>
        <v>225</v>
      </c>
      <c r="N13" s="177">
        <v>2</v>
      </c>
      <c r="O13" s="174">
        <v>50.45</v>
      </c>
      <c r="P13" s="175">
        <f t="shared" si="5"/>
        <v>296</v>
      </c>
      <c r="Q13" s="54" t="s">
        <v>119</v>
      </c>
      <c r="R13" s="55">
        <v>0</v>
      </c>
      <c r="S13" s="55" t="s">
        <v>104</v>
      </c>
      <c r="T13" s="112" t="s">
        <v>206</v>
      </c>
      <c r="U13" s="112" t="s">
        <v>250</v>
      </c>
      <c r="V13" s="112" t="s">
        <v>254</v>
      </c>
    </row>
    <row r="14" spans="1:22" ht="12.75">
      <c r="A14" s="171" t="s">
        <v>27</v>
      </c>
      <c r="B14" s="54" t="s">
        <v>118</v>
      </c>
      <c r="C14" s="55">
        <v>0</v>
      </c>
      <c r="D14" s="55" t="s">
        <v>80</v>
      </c>
      <c r="E14" s="60">
        <f t="shared" si="0"/>
        <v>1261</v>
      </c>
      <c r="F14" s="172">
        <v>11.8</v>
      </c>
      <c r="G14" s="173">
        <f t="shared" si="1"/>
        <v>252</v>
      </c>
      <c r="H14" s="172">
        <v>48.76</v>
      </c>
      <c r="I14" s="173">
        <f t="shared" si="2"/>
        <v>297</v>
      </c>
      <c r="J14" s="54">
        <v>9.11</v>
      </c>
      <c r="K14" s="173">
        <f t="shared" si="3"/>
        <v>280</v>
      </c>
      <c r="L14" s="54">
        <v>4.38</v>
      </c>
      <c r="M14" s="173">
        <f t="shared" si="4"/>
        <v>269</v>
      </c>
      <c r="N14" s="177">
        <v>3</v>
      </c>
      <c r="O14" s="174">
        <v>8.22</v>
      </c>
      <c r="P14" s="175">
        <f t="shared" si="5"/>
        <v>163</v>
      </c>
      <c r="Q14" s="54" t="s">
        <v>118</v>
      </c>
      <c r="R14" s="55">
        <v>0</v>
      </c>
      <c r="S14" s="55" t="s">
        <v>80</v>
      </c>
      <c r="T14" s="112" t="s">
        <v>217</v>
      </c>
      <c r="U14" s="112" t="s">
        <v>250</v>
      </c>
      <c r="V14" s="112" t="s">
        <v>253</v>
      </c>
    </row>
    <row r="15" spans="1:22" ht="12.75">
      <c r="A15" s="171" t="s">
        <v>30</v>
      </c>
      <c r="B15" s="54" t="s">
        <v>121</v>
      </c>
      <c r="C15" s="55">
        <v>99</v>
      </c>
      <c r="D15" s="55" t="s">
        <v>76</v>
      </c>
      <c r="E15" s="60">
        <f t="shared" si="0"/>
        <v>1075</v>
      </c>
      <c r="F15" s="172">
        <v>11.68</v>
      </c>
      <c r="G15" s="173">
        <f t="shared" si="1"/>
        <v>268</v>
      </c>
      <c r="H15" s="172">
        <v>39.88</v>
      </c>
      <c r="I15" s="173">
        <f t="shared" si="2"/>
        <v>223</v>
      </c>
      <c r="J15" s="54">
        <v>9.34</v>
      </c>
      <c r="K15" s="173">
        <f t="shared" si="3"/>
        <v>233</v>
      </c>
      <c r="L15" s="54">
        <v>4.46</v>
      </c>
      <c r="M15" s="173">
        <f t="shared" si="4"/>
        <v>283</v>
      </c>
      <c r="N15" s="177">
        <v>3</v>
      </c>
      <c r="O15" s="174">
        <v>25.7</v>
      </c>
      <c r="P15" s="175">
        <f t="shared" si="5"/>
        <v>68</v>
      </c>
      <c r="Q15" s="54" t="s">
        <v>121</v>
      </c>
      <c r="R15" s="55">
        <v>99</v>
      </c>
      <c r="S15" s="55" t="s">
        <v>76</v>
      </c>
      <c r="T15" s="112" t="s">
        <v>206</v>
      </c>
      <c r="U15" s="112" t="s">
        <v>249</v>
      </c>
      <c r="V15" s="112" t="s">
        <v>255</v>
      </c>
    </row>
    <row r="16" spans="1:22" ht="12.75">
      <c r="A16" s="36" t="s">
        <v>31</v>
      </c>
      <c r="B16" s="54" t="s">
        <v>127</v>
      </c>
      <c r="C16" s="55">
        <v>99</v>
      </c>
      <c r="D16" s="55" t="s">
        <v>80</v>
      </c>
      <c r="E16" s="60">
        <f t="shared" si="0"/>
        <v>880</v>
      </c>
      <c r="F16" s="172">
        <v>12.9</v>
      </c>
      <c r="G16" s="173">
        <f t="shared" si="1"/>
        <v>128</v>
      </c>
      <c r="H16" s="172">
        <v>44.02</v>
      </c>
      <c r="I16" s="173">
        <f t="shared" si="2"/>
        <v>258</v>
      </c>
      <c r="J16" s="54">
        <v>9.31</v>
      </c>
      <c r="K16" s="173">
        <f t="shared" si="3"/>
        <v>239</v>
      </c>
      <c r="L16" s="172">
        <v>4.3</v>
      </c>
      <c r="M16" s="173">
        <f t="shared" si="4"/>
        <v>255</v>
      </c>
      <c r="N16" s="177"/>
      <c r="O16" s="174" t="s">
        <v>216</v>
      </c>
      <c r="P16" s="175">
        <v>0</v>
      </c>
      <c r="Q16" s="54" t="s">
        <v>127</v>
      </c>
      <c r="R16" s="55">
        <v>99</v>
      </c>
      <c r="S16" s="55" t="s">
        <v>80</v>
      </c>
      <c r="T16" s="112" t="s">
        <v>206</v>
      </c>
      <c r="U16" s="112" t="s">
        <v>250</v>
      </c>
      <c r="V16" s="112" t="s">
        <v>256</v>
      </c>
    </row>
    <row r="17" spans="1:22" ht="12.75">
      <c r="A17" s="29"/>
      <c r="B17" s="32"/>
      <c r="C17" s="30"/>
      <c r="D17" s="30"/>
      <c r="E17" s="81"/>
      <c r="F17" s="223"/>
      <c r="G17" s="224"/>
      <c r="H17" s="223"/>
      <c r="I17" s="224"/>
      <c r="J17" s="223"/>
      <c r="K17" s="224"/>
      <c r="L17" s="32"/>
      <c r="M17" s="224"/>
      <c r="N17" s="32"/>
      <c r="O17" s="225"/>
      <c r="P17" s="224"/>
      <c r="Q17" s="32"/>
      <c r="R17" s="30"/>
      <c r="S17" s="30"/>
      <c r="T17" s="113"/>
      <c r="U17" s="113"/>
      <c r="V17" s="113"/>
    </row>
    <row r="18" spans="1:22" ht="12.75">
      <c r="A18" s="29"/>
      <c r="B18" s="32"/>
      <c r="C18" s="30"/>
      <c r="D18" s="30"/>
      <c r="E18" s="81"/>
      <c r="F18" s="223"/>
      <c r="G18" s="224"/>
      <c r="H18" s="223"/>
      <c r="I18" s="224"/>
      <c r="J18" s="223"/>
      <c r="K18" s="224"/>
      <c r="L18" s="32"/>
      <c r="M18" s="224"/>
      <c r="N18" s="32"/>
      <c r="O18" s="225"/>
      <c r="P18" s="224"/>
      <c r="Q18" s="32"/>
      <c r="R18" s="30"/>
      <c r="S18" s="30"/>
      <c r="T18" s="113"/>
      <c r="U18" s="113"/>
      <c r="V18" s="113"/>
    </row>
    <row r="19" spans="1:22" ht="12.75">
      <c r="A19" s="29"/>
      <c r="B19" s="32"/>
      <c r="C19" s="30"/>
      <c r="D19" s="30"/>
      <c r="E19" s="81"/>
      <c r="F19" s="223"/>
      <c r="G19" s="224"/>
      <c r="H19" s="223"/>
      <c r="I19" s="224"/>
      <c r="J19" s="32"/>
      <c r="K19" s="224"/>
      <c r="L19" s="32"/>
      <c r="M19" s="224"/>
      <c r="N19" s="32"/>
      <c r="O19" s="225"/>
      <c r="P19" s="224"/>
      <c r="Q19" s="146"/>
      <c r="R19" s="216"/>
      <c r="S19" s="216"/>
      <c r="T19" s="113"/>
      <c r="U19" s="113"/>
      <c r="V19" s="113"/>
    </row>
    <row r="20" spans="1:22" ht="12.75">
      <c r="A20" s="29"/>
      <c r="B20" s="242"/>
      <c r="C20" s="247"/>
      <c r="D20" s="247"/>
      <c r="E20" s="81"/>
      <c r="F20" s="248"/>
      <c r="G20" s="224"/>
      <c r="H20" s="248"/>
      <c r="I20" s="224"/>
      <c r="J20" s="242"/>
      <c r="K20" s="224"/>
      <c r="L20" s="242"/>
      <c r="M20" s="224"/>
      <c r="N20" s="242"/>
      <c r="O20" s="249"/>
      <c r="P20" s="224"/>
      <c r="Q20" s="77"/>
      <c r="R20" s="47"/>
      <c r="S20" s="47"/>
      <c r="T20" s="113"/>
      <c r="U20" s="113"/>
      <c r="V20" s="113"/>
    </row>
    <row r="21" spans="1:22" ht="12.75">
      <c r="A21" s="29"/>
      <c r="B21" s="32"/>
      <c r="C21" s="30"/>
      <c r="D21" s="30"/>
      <c r="E21" s="81"/>
      <c r="F21" s="223"/>
      <c r="G21" s="224"/>
      <c r="H21" s="223"/>
      <c r="I21" s="224"/>
      <c r="J21" s="32"/>
      <c r="K21" s="224"/>
      <c r="L21" s="32"/>
      <c r="M21" s="224"/>
      <c r="N21" s="32"/>
      <c r="O21" s="225"/>
      <c r="P21" s="224"/>
      <c r="Q21" s="32"/>
      <c r="R21" s="30"/>
      <c r="S21" s="30"/>
      <c r="T21" s="113"/>
      <c r="U21" s="113"/>
      <c r="V21" s="113"/>
    </row>
    <row r="22" spans="1:22" ht="12.75">
      <c r="A22" s="29"/>
      <c r="B22" s="32"/>
      <c r="C22" s="30"/>
      <c r="D22" s="30"/>
      <c r="E22" s="81"/>
      <c r="F22" s="223"/>
      <c r="G22" s="224"/>
      <c r="H22" s="223"/>
      <c r="I22" s="224"/>
      <c r="J22" s="32"/>
      <c r="K22" s="224"/>
      <c r="L22" s="32"/>
      <c r="M22" s="224"/>
      <c r="N22" s="32"/>
      <c r="O22" s="225"/>
      <c r="P22" s="224"/>
      <c r="Q22" s="32"/>
      <c r="R22" s="30"/>
      <c r="S22" s="30"/>
      <c r="T22" s="113"/>
      <c r="U22" s="113"/>
      <c r="V22" s="113"/>
    </row>
    <row r="23" spans="1:22" ht="12.75">
      <c r="A23" s="29"/>
      <c r="B23" s="32"/>
      <c r="C23" s="30"/>
      <c r="D23" s="30"/>
      <c r="E23" s="81"/>
      <c r="F23" s="223"/>
      <c r="G23" s="224"/>
      <c r="H23" s="223"/>
      <c r="I23" s="224"/>
      <c r="J23" s="32"/>
      <c r="K23" s="224"/>
      <c r="L23" s="32"/>
      <c r="M23" s="224"/>
      <c r="N23" s="32"/>
      <c r="O23" s="225"/>
      <c r="P23" s="224"/>
      <c r="Q23" s="32"/>
      <c r="R23" s="30"/>
      <c r="S23" s="30"/>
      <c r="T23" s="113"/>
      <c r="U23" s="113"/>
      <c r="V23" s="113"/>
    </row>
    <row r="24" spans="1:22" ht="12.75">
      <c r="A24" s="29"/>
      <c r="B24" s="32"/>
      <c r="C24" s="30"/>
      <c r="D24" s="30"/>
      <c r="E24" s="81"/>
      <c r="F24" s="223"/>
      <c r="G24" s="224"/>
      <c r="H24" s="223"/>
      <c r="I24" s="224"/>
      <c r="J24" s="32"/>
      <c r="K24" s="224"/>
      <c r="L24" s="32"/>
      <c r="M24" s="224"/>
      <c r="N24" s="32"/>
      <c r="O24" s="225"/>
      <c r="P24" s="224"/>
      <c r="Q24" s="32"/>
      <c r="R24" s="32"/>
      <c r="S24" s="32"/>
      <c r="T24" s="32"/>
      <c r="U24" s="32"/>
      <c r="V24" s="32"/>
    </row>
    <row r="25" spans="1:22" ht="12.75">
      <c r="A25" s="29"/>
      <c r="B25" s="32"/>
      <c r="C25" s="30"/>
      <c r="D25" s="30"/>
      <c r="E25" s="81"/>
      <c r="F25" s="223"/>
      <c r="G25" s="224"/>
      <c r="H25" s="223"/>
      <c r="I25" s="224"/>
      <c r="J25" s="32"/>
      <c r="K25" s="224"/>
      <c r="L25" s="32"/>
      <c r="M25" s="224"/>
      <c r="N25" s="32"/>
      <c r="O25" s="225"/>
      <c r="P25" s="224"/>
      <c r="Q25" s="32"/>
      <c r="R25" s="32"/>
      <c r="S25" s="32"/>
      <c r="T25" s="32"/>
      <c r="U25" s="32"/>
      <c r="V25" s="32"/>
    </row>
    <row r="26" spans="1:22" ht="12.75">
      <c r="A26" s="29"/>
      <c r="B26" s="32"/>
      <c r="C26" s="30"/>
      <c r="D26" s="30"/>
      <c r="E26" s="81"/>
      <c r="F26" s="223"/>
      <c r="G26" s="224"/>
      <c r="H26" s="223"/>
      <c r="I26" s="224"/>
      <c r="J26" s="32"/>
      <c r="K26" s="224"/>
      <c r="L26" s="32"/>
      <c r="M26" s="224"/>
      <c r="N26" s="32"/>
      <c r="O26" s="225"/>
      <c r="P26" s="224"/>
      <c r="Q26" s="32"/>
      <c r="R26" s="32"/>
      <c r="S26" s="32"/>
      <c r="T26" s="32"/>
      <c r="U26" s="32"/>
      <c r="V26" s="32"/>
    </row>
    <row r="27" spans="1:22" ht="12.75">
      <c r="A27" s="29"/>
      <c r="B27" s="32"/>
      <c r="C27" s="30"/>
      <c r="D27" s="30"/>
      <c r="E27" s="81"/>
      <c r="F27" s="223"/>
      <c r="G27" s="224"/>
      <c r="H27" s="223"/>
      <c r="I27" s="224"/>
      <c r="J27" s="32"/>
      <c r="K27" s="224"/>
      <c r="L27" s="32"/>
      <c r="M27" s="224"/>
      <c r="N27" s="32"/>
      <c r="O27" s="225"/>
      <c r="P27" s="224"/>
      <c r="Q27" s="32"/>
      <c r="R27" s="32"/>
      <c r="S27" s="32"/>
      <c r="T27" s="32"/>
      <c r="U27" s="32"/>
      <c r="V27" s="32"/>
    </row>
    <row r="28" spans="1:22" ht="12.75">
      <c r="A28" s="29"/>
      <c r="B28" s="32"/>
      <c r="C28" s="30"/>
      <c r="D28" s="30"/>
      <c r="E28" s="81"/>
      <c r="F28" s="223"/>
      <c r="G28" s="224"/>
      <c r="H28" s="223"/>
      <c r="I28" s="224"/>
      <c r="J28" s="32"/>
      <c r="K28" s="224"/>
      <c r="L28" s="32"/>
      <c r="M28" s="224"/>
      <c r="N28" s="32"/>
      <c r="O28" s="225"/>
      <c r="P28" s="224"/>
      <c r="Q28" s="32"/>
      <c r="R28" s="32"/>
      <c r="S28" s="32"/>
      <c r="T28" s="32"/>
      <c r="U28" s="32"/>
      <c r="V28" s="32"/>
    </row>
    <row r="29" spans="1:16" ht="12.75">
      <c r="A29" s="29"/>
      <c r="B29" s="32"/>
      <c r="C29" s="30"/>
      <c r="D29" s="30"/>
      <c r="E29" s="81"/>
      <c r="F29" s="223"/>
      <c r="G29" s="224"/>
      <c r="H29" s="223"/>
      <c r="I29" s="224"/>
      <c r="J29" s="32"/>
      <c r="K29" s="224"/>
      <c r="L29" s="32"/>
      <c r="M29" s="224"/>
      <c r="N29" s="32"/>
      <c r="O29" s="225"/>
      <c r="P29" s="224"/>
    </row>
    <row r="30" spans="1:16" ht="12.75">
      <c r="A30" s="29"/>
      <c r="B30" s="32"/>
      <c r="C30" s="30"/>
      <c r="D30" s="30"/>
      <c r="E30" s="81"/>
      <c r="F30" s="223"/>
      <c r="G30" s="224"/>
      <c r="H30" s="223"/>
      <c r="I30" s="224"/>
      <c r="J30" s="32"/>
      <c r="K30" s="224"/>
      <c r="L30" s="32"/>
      <c r="M30" s="224"/>
      <c r="N30" s="32"/>
      <c r="O30" s="225"/>
      <c r="P30" s="224"/>
    </row>
    <row r="31" spans="1:16" ht="12.75">
      <c r="A31" s="29"/>
      <c r="B31" s="32"/>
      <c r="C31" s="30"/>
      <c r="D31" s="30"/>
      <c r="E31" s="81"/>
      <c r="F31" s="223"/>
      <c r="G31" s="224"/>
      <c r="H31" s="223"/>
      <c r="I31" s="224"/>
      <c r="J31" s="32"/>
      <c r="K31" s="224"/>
      <c r="L31" s="32"/>
      <c r="M31" s="224"/>
      <c r="N31" s="32"/>
      <c r="O31" s="225"/>
      <c r="P31" s="224"/>
    </row>
    <row r="32" spans="1:16" ht="12.75">
      <c r="A32" s="29"/>
      <c r="B32" s="32"/>
      <c r="C32" s="30"/>
      <c r="D32" s="30"/>
      <c r="E32" s="81"/>
      <c r="F32" s="223"/>
      <c r="G32" s="224"/>
      <c r="H32" s="223"/>
      <c r="I32" s="224"/>
      <c r="J32" s="32"/>
      <c r="K32" s="224"/>
      <c r="L32" s="32"/>
      <c r="M32" s="224"/>
      <c r="N32" s="32"/>
      <c r="O32" s="225"/>
      <c r="P32" s="224"/>
    </row>
    <row r="34" spans="1:16" ht="20.25">
      <c r="A34" s="294"/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</row>
    <row r="36" spans="1:16" ht="12.75">
      <c r="A36" s="257"/>
      <c r="B36" s="257"/>
      <c r="C36" s="257"/>
      <c r="D36" s="257"/>
      <c r="E36" s="258"/>
      <c r="F36" s="259"/>
      <c r="G36" s="260"/>
      <c r="H36" s="260"/>
      <c r="I36" s="260"/>
      <c r="J36" s="259"/>
      <c r="K36" s="260"/>
      <c r="L36" s="259"/>
      <c r="M36" s="260"/>
      <c r="N36" s="296"/>
      <c r="O36" s="296"/>
      <c r="P36" s="260"/>
    </row>
    <row r="37" spans="1:16" ht="12.75">
      <c r="A37" s="139"/>
      <c r="B37" s="139"/>
      <c r="C37" s="140"/>
      <c r="D37" s="140"/>
      <c r="E37" s="140"/>
      <c r="F37" s="139"/>
      <c r="G37" s="246"/>
      <c r="H37" s="139"/>
      <c r="I37" s="246"/>
      <c r="J37" s="139"/>
      <c r="K37" s="246"/>
      <c r="L37" s="139"/>
      <c r="M37" s="246"/>
      <c r="N37" s="139"/>
      <c r="O37" s="139"/>
      <c r="P37" s="246"/>
    </row>
    <row r="38" spans="1:16" ht="12.75">
      <c r="A38" s="81"/>
      <c r="B38" s="32"/>
      <c r="C38" s="30"/>
      <c r="D38" s="30"/>
      <c r="E38" s="81"/>
      <c r="F38" s="31"/>
      <c r="G38" s="224"/>
      <c r="H38" s="31"/>
      <c r="I38" s="224"/>
      <c r="J38" s="30"/>
      <c r="K38" s="224"/>
      <c r="L38" s="30"/>
      <c r="M38" s="224"/>
      <c r="N38" s="32"/>
      <c r="O38" s="225"/>
      <c r="P38" s="224"/>
    </row>
    <row r="39" spans="1:16" ht="12.75">
      <c r="A39" s="29"/>
      <c r="B39" s="242"/>
      <c r="C39" s="247"/>
      <c r="D39" s="247"/>
      <c r="E39" s="81"/>
      <c r="F39" s="261"/>
      <c r="G39" s="224"/>
      <c r="H39" s="261"/>
      <c r="I39" s="224"/>
      <c r="J39" s="261"/>
      <c r="K39" s="224"/>
      <c r="L39" s="247"/>
      <c r="M39" s="224"/>
      <c r="N39" s="242"/>
      <c r="O39" s="249"/>
      <c r="P39" s="224"/>
    </row>
    <row r="40" spans="1:16" ht="12.75">
      <c r="A40" s="29"/>
      <c r="B40" s="32"/>
      <c r="C40" s="30"/>
      <c r="D40" s="30"/>
      <c r="E40" s="81"/>
      <c r="F40" s="31"/>
      <c r="G40" s="224"/>
      <c r="H40" s="31"/>
      <c r="I40" s="224"/>
      <c r="J40" s="31"/>
      <c r="K40" s="224"/>
      <c r="L40" s="31"/>
      <c r="M40" s="224"/>
      <c r="N40" s="32"/>
      <c r="O40" s="225"/>
      <c r="P40" s="224"/>
    </row>
    <row r="41" spans="1:16" ht="12.75">
      <c r="A41" s="29"/>
      <c r="B41" s="32"/>
      <c r="C41" s="30"/>
      <c r="D41" s="30"/>
      <c r="E41" s="81"/>
      <c r="F41" s="31"/>
      <c r="G41" s="224"/>
      <c r="H41" s="31"/>
      <c r="I41" s="224"/>
      <c r="J41" s="30"/>
      <c r="K41" s="224"/>
      <c r="L41" s="30"/>
      <c r="M41" s="224"/>
      <c r="N41" s="32"/>
      <c r="O41" s="225"/>
      <c r="P41" s="224"/>
    </row>
    <row r="42" spans="1:16" ht="12.75">
      <c r="A42" s="29"/>
      <c r="B42" s="32"/>
      <c r="C42" s="30"/>
      <c r="D42" s="30"/>
      <c r="E42" s="81"/>
      <c r="F42" s="31"/>
      <c r="G42" s="224"/>
      <c r="H42" s="31"/>
      <c r="I42" s="224"/>
      <c r="J42" s="30"/>
      <c r="K42" s="224"/>
      <c r="L42" s="30"/>
      <c r="M42" s="224"/>
      <c r="N42" s="32"/>
      <c r="O42" s="225"/>
      <c r="P42" s="224"/>
    </row>
    <row r="43" spans="1:16" ht="12.75">
      <c r="A43" s="29"/>
      <c r="B43" s="32"/>
      <c r="C43" s="30"/>
      <c r="D43" s="30"/>
      <c r="E43" s="81"/>
      <c r="F43" s="31"/>
      <c r="G43" s="224"/>
      <c r="H43" s="31"/>
      <c r="I43" s="224"/>
      <c r="J43" s="31"/>
      <c r="K43" s="224"/>
      <c r="L43" s="31"/>
      <c r="M43" s="224"/>
      <c r="N43" s="32"/>
      <c r="O43" s="225"/>
      <c r="P43" s="224"/>
    </row>
    <row r="44" spans="1:16" ht="12.75">
      <c r="A44" s="29"/>
      <c r="B44" s="32"/>
      <c r="C44" s="30"/>
      <c r="D44" s="30"/>
      <c r="E44" s="81"/>
      <c r="F44" s="31"/>
      <c r="G44" s="224"/>
      <c r="H44" s="31"/>
      <c r="I44" s="224"/>
      <c r="J44" s="30"/>
      <c r="K44" s="224"/>
      <c r="L44" s="30"/>
      <c r="M44" s="224"/>
      <c r="N44" s="32"/>
      <c r="O44" s="225"/>
      <c r="P44" s="224"/>
    </row>
    <row r="45" spans="1:16" ht="12.75">
      <c r="A45" s="29"/>
      <c r="B45" s="32"/>
      <c r="C45" s="30"/>
      <c r="D45" s="30"/>
      <c r="E45" s="81"/>
      <c r="F45" s="31"/>
      <c r="G45" s="224"/>
      <c r="H45" s="31"/>
      <c r="I45" s="224"/>
      <c r="J45" s="30"/>
      <c r="K45" s="224"/>
      <c r="L45" s="30"/>
      <c r="M45" s="224"/>
      <c r="N45" s="32"/>
      <c r="O45" s="225"/>
      <c r="P45" s="224"/>
    </row>
    <row r="46" spans="1:16" ht="12.75">
      <c r="A46" s="29"/>
      <c r="B46" s="32"/>
      <c r="C46" s="30"/>
      <c r="D46" s="30"/>
      <c r="E46" s="81"/>
      <c r="F46" s="31"/>
      <c r="G46" s="224"/>
      <c r="H46" s="31"/>
      <c r="I46" s="224"/>
      <c r="J46" s="30"/>
      <c r="K46" s="224"/>
      <c r="L46" s="30"/>
      <c r="M46" s="224"/>
      <c r="N46" s="32"/>
      <c r="O46" s="225"/>
      <c r="P46" s="224"/>
    </row>
    <row r="47" spans="1:16" ht="12.75">
      <c r="A47" s="29"/>
      <c r="B47" s="32"/>
      <c r="C47" s="30"/>
      <c r="D47" s="30"/>
      <c r="E47" s="81"/>
      <c r="F47" s="31"/>
      <c r="G47" s="224"/>
      <c r="H47" s="31"/>
      <c r="I47" s="224"/>
      <c r="J47" s="30"/>
      <c r="K47" s="224"/>
      <c r="L47" s="31"/>
      <c r="M47" s="224"/>
      <c r="N47" s="32"/>
      <c r="O47" s="225"/>
      <c r="P47" s="224"/>
    </row>
    <row r="48" spans="1:16" ht="12.75">
      <c r="A48" s="29"/>
      <c r="B48" s="262"/>
      <c r="C48" s="79"/>
      <c r="D48" s="79"/>
      <c r="E48" s="81"/>
      <c r="F48" s="263"/>
      <c r="G48" s="264"/>
      <c r="H48" s="263"/>
      <c r="I48" s="224"/>
      <c r="J48" s="263"/>
      <c r="K48" s="224"/>
      <c r="L48" s="243"/>
      <c r="M48" s="224"/>
      <c r="N48" s="244"/>
      <c r="O48" s="245"/>
      <c r="P48" s="224"/>
    </row>
    <row r="49" spans="1:16" ht="12.75">
      <c r="A49" s="29"/>
      <c r="B49" s="32"/>
      <c r="C49" s="30"/>
      <c r="D49" s="30"/>
      <c r="E49" s="81"/>
      <c r="F49" s="31"/>
      <c r="G49" s="224"/>
      <c r="H49" s="31"/>
      <c r="I49" s="224"/>
      <c r="J49" s="30"/>
      <c r="K49" s="224"/>
      <c r="L49" s="30"/>
      <c r="M49" s="224"/>
      <c r="N49" s="32"/>
      <c r="O49" s="225"/>
      <c r="P49" s="224"/>
    </row>
    <row r="50" spans="1:16" ht="12.75">
      <c r="A50" s="29"/>
      <c r="B50" s="32"/>
      <c r="C50" s="30"/>
      <c r="D50" s="30"/>
      <c r="E50" s="81"/>
      <c r="F50" s="31"/>
      <c r="G50" s="224"/>
      <c r="H50" s="31"/>
      <c r="I50" s="224"/>
      <c r="J50" s="30"/>
      <c r="K50" s="224"/>
      <c r="L50" s="30"/>
      <c r="M50" s="224"/>
      <c r="N50" s="32"/>
      <c r="O50" s="225"/>
      <c r="P50" s="224"/>
    </row>
    <row r="51" spans="1:16" ht="12.75">
      <c r="A51" s="29"/>
      <c r="B51" s="32"/>
      <c r="C51" s="30"/>
      <c r="D51" s="30"/>
      <c r="E51" s="81"/>
      <c r="F51" s="31"/>
      <c r="G51" s="224"/>
      <c r="H51" s="31"/>
      <c r="I51" s="224"/>
      <c r="J51" s="30"/>
      <c r="K51" s="224"/>
      <c r="L51" s="30"/>
      <c r="M51" s="224"/>
      <c r="N51" s="32"/>
      <c r="O51" s="225"/>
      <c r="P51" s="224"/>
    </row>
    <row r="52" spans="1:16" ht="12.75">
      <c r="A52" s="29"/>
      <c r="B52" s="32"/>
      <c r="C52" s="30"/>
      <c r="D52" s="30"/>
      <c r="E52" s="81"/>
      <c r="F52" s="31"/>
      <c r="G52" s="224"/>
      <c r="H52" s="31"/>
      <c r="I52" s="224"/>
      <c r="J52" s="30"/>
      <c r="K52" s="224"/>
      <c r="L52" s="30"/>
      <c r="M52" s="224"/>
      <c r="N52" s="32"/>
      <c r="O52" s="225"/>
      <c r="P52" s="224"/>
    </row>
    <row r="53" spans="1:16" ht="12.75">
      <c r="A53" s="29"/>
      <c r="B53" s="32"/>
      <c r="C53" s="30"/>
      <c r="D53" s="30"/>
      <c r="E53" s="81"/>
      <c r="F53" s="31"/>
      <c r="G53" s="224"/>
      <c r="H53" s="31"/>
      <c r="I53" s="224"/>
      <c r="J53" s="30"/>
      <c r="K53" s="224"/>
      <c r="L53" s="30"/>
      <c r="M53" s="224"/>
      <c r="N53" s="32"/>
      <c r="O53" s="225"/>
      <c r="P53" s="224"/>
    </row>
    <row r="54" spans="1:16" ht="12.75">
      <c r="A54" s="29"/>
      <c r="B54" s="32"/>
      <c r="C54" s="30"/>
      <c r="D54" s="30"/>
      <c r="E54" s="81"/>
      <c r="F54" s="31"/>
      <c r="G54" s="224"/>
      <c r="H54" s="31"/>
      <c r="I54" s="224"/>
      <c r="J54" s="30"/>
      <c r="K54" s="224"/>
      <c r="L54" s="30"/>
      <c r="M54" s="224"/>
      <c r="N54" s="32"/>
      <c r="O54" s="225"/>
      <c r="P54" s="224"/>
    </row>
    <row r="55" spans="1:16" ht="12.75">
      <c r="A55" s="29"/>
      <c r="B55" s="32"/>
      <c r="C55" s="30"/>
      <c r="D55" s="30"/>
      <c r="E55" s="81"/>
      <c r="F55" s="31"/>
      <c r="G55" s="224"/>
      <c r="H55" s="31"/>
      <c r="I55" s="224"/>
      <c r="J55" s="31"/>
      <c r="K55" s="224"/>
      <c r="L55" s="30"/>
      <c r="M55" s="224"/>
      <c r="N55" s="32"/>
      <c r="O55" s="225"/>
      <c r="P55" s="224"/>
    </row>
    <row r="56" spans="1:16" ht="12.75">
      <c r="A56" s="29"/>
      <c r="B56" s="32"/>
      <c r="C56" s="30"/>
      <c r="D56" s="30"/>
      <c r="E56" s="81"/>
      <c r="F56" s="31"/>
      <c r="G56" s="224"/>
      <c r="H56" s="31"/>
      <c r="I56" s="224"/>
      <c r="J56" s="30"/>
      <c r="K56" s="224"/>
      <c r="L56" s="30"/>
      <c r="M56" s="224"/>
      <c r="N56" s="32"/>
      <c r="O56" s="225"/>
      <c r="P56" s="224"/>
    </row>
    <row r="57" spans="1:16" ht="12.75">
      <c r="A57" s="29"/>
      <c r="B57" s="242"/>
      <c r="C57" s="247"/>
      <c r="D57" s="247"/>
      <c r="E57" s="81"/>
      <c r="F57" s="261"/>
      <c r="G57" s="224"/>
      <c r="H57" s="261"/>
      <c r="I57" s="224"/>
      <c r="J57" s="247"/>
      <c r="K57" s="224"/>
      <c r="L57" s="247"/>
      <c r="M57" s="224"/>
      <c r="N57" s="242"/>
      <c r="O57" s="249"/>
      <c r="P57" s="224"/>
    </row>
    <row r="58" spans="1:16" ht="12.75">
      <c r="A58" s="29"/>
      <c r="B58" s="32"/>
      <c r="C58" s="30"/>
      <c r="D58" s="30"/>
      <c r="E58" s="81"/>
      <c r="F58" s="31"/>
      <c r="G58" s="224"/>
      <c r="H58" s="31"/>
      <c r="I58" s="224"/>
      <c r="J58" s="30"/>
      <c r="K58" s="224"/>
      <c r="L58" s="30"/>
      <c r="M58" s="224"/>
      <c r="N58" s="32"/>
      <c r="O58" s="225"/>
      <c r="P58" s="224"/>
    </row>
    <row r="59" spans="1:16" ht="12.75">
      <c r="A59" s="29"/>
      <c r="B59" s="32"/>
      <c r="C59" s="30"/>
      <c r="D59" s="30"/>
      <c r="E59" s="81"/>
      <c r="F59" s="31"/>
      <c r="G59" s="224"/>
      <c r="H59" s="31"/>
      <c r="I59" s="224"/>
      <c r="J59" s="30"/>
      <c r="K59" s="224"/>
      <c r="L59" s="30"/>
      <c r="M59" s="224"/>
      <c r="N59" s="32"/>
      <c r="O59" s="225"/>
      <c r="P59" s="224"/>
    </row>
    <row r="60" spans="1:16" ht="12.75">
      <c r="A60" s="29"/>
      <c r="B60" s="32"/>
      <c r="C60" s="30"/>
      <c r="D60" s="30"/>
      <c r="E60" s="81"/>
      <c r="F60" s="31"/>
      <c r="G60" s="224"/>
      <c r="H60" s="31"/>
      <c r="I60" s="224"/>
      <c r="J60" s="31"/>
      <c r="K60" s="224"/>
      <c r="L60" s="30"/>
      <c r="M60" s="224"/>
      <c r="N60" s="32"/>
      <c r="O60" s="225"/>
      <c r="P60" s="224"/>
    </row>
    <row r="61" spans="1:16" ht="12.75">
      <c r="A61" s="29"/>
      <c r="B61" s="32"/>
      <c r="C61" s="30"/>
      <c r="D61" s="30"/>
      <c r="E61" s="81"/>
      <c r="F61" s="31"/>
      <c r="G61" s="224"/>
      <c r="H61" s="31"/>
      <c r="I61" s="224"/>
      <c r="J61" s="31"/>
      <c r="K61" s="224"/>
      <c r="L61" s="30"/>
      <c r="M61" s="224"/>
      <c r="N61" s="32"/>
      <c r="O61" s="225"/>
      <c r="P61" s="224"/>
    </row>
    <row r="62" spans="1:16" ht="12.75">
      <c r="A62" s="29"/>
      <c r="B62" s="32"/>
      <c r="C62" s="30"/>
      <c r="D62" s="30"/>
      <c r="E62" s="81"/>
      <c r="F62" s="31"/>
      <c r="G62" s="224"/>
      <c r="H62" s="31"/>
      <c r="I62" s="224"/>
      <c r="J62" s="30"/>
      <c r="K62" s="224"/>
      <c r="L62" s="30"/>
      <c r="M62" s="224"/>
      <c r="N62" s="32"/>
      <c r="O62" s="225"/>
      <c r="P62" s="224"/>
    </row>
    <row r="63" spans="1:16" ht="12.75">
      <c r="A63" s="29"/>
      <c r="B63" s="32"/>
      <c r="C63" s="30"/>
      <c r="D63" s="30"/>
      <c r="E63" s="81"/>
      <c r="F63" s="31"/>
      <c r="G63" s="224"/>
      <c r="H63" s="31"/>
      <c r="I63" s="224"/>
      <c r="J63" s="30"/>
      <c r="K63" s="224"/>
      <c r="L63" s="31"/>
      <c r="M63" s="224"/>
      <c r="N63" s="32"/>
      <c r="O63" s="225"/>
      <c r="P63" s="224"/>
    </row>
    <row r="64" spans="1:16" ht="12.75">
      <c r="A64" s="29"/>
      <c r="B64" s="32"/>
      <c r="C64" s="30"/>
      <c r="D64" s="30"/>
      <c r="E64" s="81"/>
      <c r="F64" s="31"/>
      <c r="G64" s="224"/>
      <c r="H64" s="31"/>
      <c r="I64" s="224"/>
      <c r="J64" s="30"/>
      <c r="K64" s="224"/>
      <c r="L64" s="30"/>
      <c r="M64" s="224"/>
      <c r="N64" s="32"/>
      <c r="O64" s="225"/>
      <c r="P64" s="224"/>
    </row>
    <row r="65" spans="1:16" ht="12.75">
      <c r="A65" s="29"/>
      <c r="B65" s="32"/>
      <c r="C65" s="30"/>
      <c r="D65" s="30"/>
      <c r="E65" s="81"/>
      <c r="F65" s="31"/>
      <c r="G65" s="224"/>
      <c r="H65" s="31"/>
      <c r="I65" s="224"/>
      <c r="J65" s="30"/>
      <c r="K65" s="224"/>
      <c r="L65" s="30"/>
      <c r="M65" s="224"/>
      <c r="N65" s="32"/>
      <c r="O65" s="225"/>
      <c r="P65" s="224"/>
    </row>
    <row r="66" spans="1:16" ht="12.75">
      <c r="A66" s="29"/>
      <c r="B66" s="32"/>
      <c r="C66" s="30"/>
      <c r="D66" s="30"/>
      <c r="E66" s="81"/>
      <c r="F66" s="31"/>
      <c r="G66" s="224"/>
      <c r="H66" s="31"/>
      <c r="I66" s="224"/>
      <c r="J66" s="30"/>
      <c r="K66" s="224"/>
      <c r="L66" s="30"/>
      <c r="M66" s="224"/>
      <c r="N66" s="32"/>
      <c r="O66" s="225"/>
      <c r="P66" s="224"/>
    </row>
    <row r="67" spans="1:16" ht="12.75">
      <c r="A67" s="29"/>
      <c r="B67" s="32"/>
      <c r="C67" s="30"/>
      <c r="D67" s="30"/>
      <c r="E67" s="81"/>
      <c r="F67" s="223"/>
      <c r="G67" s="224"/>
      <c r="H67" s="223"/>
      <c r="I67" s="224"/>
      <c r="J67" s="32"/>
      <c r="K67" s="224"/>
      <c r="L67" s="32"/>
      <c r="M67" s="224"/>
      <c r="N67" s="32"/>
      <c r="O67" s="225"/>
      <c r="P67" s="224"/>
    </row>
    <row r="68" spans="1:16" ht="12.75">
      <c r="A68" s="29"/>
      <c r="B68" s="32"/>
      <c r="C68" s="30"/>
      <c r="D68" s="30"/>
      <c r="E68" s="81"/>
      <c r="F68" s="223"/>
      <c r="G68" s="224"/>
      <c r="H68" s="223"/>
      <c r="I68" s="224"/>
      <c r="J68" s="32"/>
      <c r="K68" s="224"/>
      <c r="L68" s="32"/>
      <c r="M68" s="224"/>
      <c r="N68" s="32"/>
      <c r="O68" s="225"/>
      <c r="P68" s="224"/>
    </row>
    <row r="69" spans="1:16" ht="12.75">
      <c r="A69" s="29"/>
      <c r="B69" s="32"/>
      <c r="C69" s="30"/>
      <c r="D69" s="30"/>
      <c r="E69" s="81"/>
      <c r="F69" s="223"/>
      <c r="G69" s="224"/>
      <c r="H69" s="223"/>
      <c r="I69" s="224"/>
      <c r="J69" s="32"/>
      <c r="K69" s="224"/>
      <c r="L69" s="32"/>
      <c r="M69" s="224"/>
      <c r="N69" s="32"/>
      <c r="O69" s="225"/>
      <c r="P69" s="224"/>
    </row>
    <row r="70" spans="1:16" ht="12.75">
      <c r="A70" s="29"/>
      <c r="B70" s="32"/>
      <c r="C70" s="30"/>
      <c r="D70" s="30"/>
      <c r="E70" s="81"/>
      <c r="F70" s="223"/>
      <c r="G70" s="224"/>
      <c r="H70" s="223"/>
      <c r="I70" s="224"/>
      <c r="J70" s="32"/>
      <c r="K70" s="224"/>
      <c r="L70" s="32"/>
      <c r="M70" s="224"/>
      <c r="N70" s="32"/>
      <c r="O70" s="225"/>
      <c r="P70" s="224"/>
    </row>
    <row r="71" spans="1:16" ht="12.75">
      <c r="A71" s="29"/>
      <c r="B71" s="32"/>
      <c r="C71" s="30"/>
      <c r="D71" s="30"/>
      <c r="E71" s="81"/>
      <c r="F71" s="223"/>
      <c r="G71" s="224"/>
      <c r="H71" s="223"/>
      <c r="I71" s="224"/>
      <c r="J71" s="32"/>
      <c r="K71" s="224"/>
      <c r="L71" s="32"/>
      <c r="M71" s="224"/>
      <c r="N71" s="32"/>
      <c r="O71" s="225"/>
      <c r="P71" s="224"/>
    </row>
    <row r="72" spans="1:16" ht="12.75">
      <c r="A72" s="29"/>
      <c r="B72" s="32"/>
      <c r="C72" s="30"/>
      <c r="D72" s="30"/>
      <c r="E72" s="81"/>
      <c r="F72" s="223"/>
      <c r="G72" s="224"/>
      <c r="H72" s="223"/>
      <c r="I72" s="224"/>
      <c r="J72" s="32"/>
      <c r="K72" s="224"/>
      <c r="L72" s="32"/>
      <c r="M72" s="224"/>
      <c r="N72" s="32"/>
      <c r="O72" s="225"/>
      <c r="P72" s="224"/>
    </row>
    <row r="73" spans="1:16" ht="12.75">
      <c r="A73" s="29"/>
      <c r="B73" s="32"/>
      <c r="C73" s="30"/>
      <c r="D73" s="30"/>
      <c r="E73" s="81"/>
      <c r="F73" s="223"/>
      <c r="G73" s="224"/>
      <c r="H73" s="223"/>
      <c r="I73" s="224"/>
      <c r="J73" s="32"/>
      <c r="K73" s="224"/>
      <c r="L73" s="32"/>
      <c r="M73" s="224"/>
      <c r="N73" s="32"/>
      <c r="O73" s="225"/>
      <c r="P73" s="224"/>
    </row>
    <row r="74" spans="1:16" ht="12.75">
      <c r="A74" s="29"/>
      <c r="B74" s="32"/>
      <c r="C74" s="30"/>
      <c r="D74" s="30"/>
      <c r="E74" s="81"/>
      <c r="F74" s="223"/>
      <c r="G74" s="224"/>
      <c r="H74" s="223"/>
      <c r="I74" s="224"/>
      <c r="J74" s="32"/>
      <c r="K74" s="224"/>
      <c r="L74" s="32"/>
      <c r="M74" s="224"/>
      <c r="N74" s="32"/>
      <c r="O74" s="225"/>
      <c r="P74" s="224"/>
    </row>
    <row r="75" spans="1:16" ht="12.75">
      <c r="A75" s="29"/>
      <c r="B75" s="32"/>
      <c r="C75" s="30"/>
      <c r="D75" s="30"/>
      <c r="E75" s="81"/>
      <c r="F75" s="223"/>
      <c r="G75" s="224"/>
      <c r="H75" s="223"/>
      <c r="I75" s="224"/>
      <c r="J75" s="32"/>
      <c r="K75" s="224"/>
      <c r="L75" s="32"/>
      <c r="M75" s="224"/>
      <c r="N75" s="32"/>
      <c r="O75" s="225"/>
      <c r="P75" s="224"/>
    </row>
    <row r="76" spans="1:16" ht="12.75">
      <c r="A76" s="29"/>
      <c r="B76" s="32"/>
      <c r="C76" s="30"/>
      <c r="D76" s="30"/>
      <c r="E76" s="81"/>
      <c r="F76" s="223"/>
      <c r="G76" s="224"/>
      <c r="H76" s="223"/>
      <c r="I76" s="224"/>
      <c r="J76" s="32"/>
      <c r="K76" s="224"/>
      <c r="L76" s="32"/>
      <c r="M76" s="224"/>
      <c r="N76" s="32"/>
      <c r="O76" s="225"/>
      <c r="P76" s="224"/>
    </row>
  </sheetData>
  <sheetProtection/>
  <mergeCells count="4">
    <mergeCell ref="A1:P1"/>
    <mergeCell ref="N3:O3"/>
    <mergeCell ref="A34:P34"/>
    <mergeCell ref="N36:O3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&amp;LMistrovství Moravy a Slezska ve vícebojích&amp;C17. ročník Třineckých atletických vícebojů&amp;RTřinec 10.6.2012</oddHeader>
    <oddFooter>&amp;LHlavní rozhodčí: Krzystek Jiří&amp;RŘeditel závodu: Szmeková Emilie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4.75390625" style="0" customWidth="1"/>
    <col min="2" max="2" width="27.00390625" style="0" customWidth="1"/>
    <col min="3" max="3" width="7.00390625" style="0" customWidth="1"/>
    <col min="4" max="4" width="9.625" style="0" customWidth="1"/>
    <col min="7" max="7" width="5.375" style="0" customWidth="1"/>
    <col min="8" max="8" width="10.75390625" style="3" customWidth="1"/>
    <col min="9" max="9" width="5.375" style="0" customWidth="1"/>
    <col min="10" max="10" width="11.625" style="0" customWidth="1"/>
    <col min="11" max="11" width="5.375" style="0" customWidth="1"/>
    <col min="12" max="12" width="6.875" style="0" customWidth="1"/>
    <col min="13" max="13" width="5.375" style="0" customWidth="1"/>
    <col min="14" max="14" width="3.00390625" style="0" customWidth="1"/>
    <col min="15" max="16" width="5.375" style="0" customWidth="1"/>
    <col min="17" max="17" width="19.00390625" style="0" customWidth="1"/>
    <col min="18" max="18" width="5.00390625" style="0" customWidth="1"/>
  </cols>
  <sheetData>
    <row r="1" spans="1:16" ht="20.25">
      <c r="A1" s="286" t="s">
        <v>72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7:22" ht="15.75">
      <c r="Q2" s="110" t="s">
        <v>62</v>
      </c>
      <c r="R2" s="5"/>
      <c r="S2" s="5"/>
      <c r="T2" s="5"/>
      <c r="U2" s="5"/>
      <c r="V2" s="5"/>
    </row>
    <row r="3" spans="1:22" ht="10.5" customHeight="1" thickBo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5"/>
      <c r="R3" s="5"/>
      <c r="S3" s="5"/>
      <c r="T3" s="5"/>
      <c r="U3" s="5"/>
      <c r="V3" s="5"/>
    </row>
    <row r="4" spans="1:22" ht="40.5" customHeight="1" thickBot="1">
      <c r="A4" s="82" t="s">
        <v>9</v>
      </c>
      <c r="B4" s="82" t="s">
        <v>8</v>
      </c>
      <c r="C4" s="82" t="s">
        <v>42</v>
      </c>
      <c r="D4" s="82" t="s">
        <v>43</v>
      </c>
      <c r="E4" s="35" t="s">
        <v>12</v>
      </c>
      <c r="F4" s="184" t="s">
        <v>70</v>
      </c>
      <c r="G4" s="185" t="s">
        <v>0</v>
      </c>
      <c r="H4" s="185" t="s">
        <v>71</v>
      </c>
      <c r="I4" s="185" t="s">
        <v>0</v>
      </c>
      <c r="J4" s="184" t="s">
        <v>28</v>
      </c>
      <c r="K4" s="185" t="s">
        <v>0</v>
      </c>
      <c r="L4" s="184" t="s">
        <v>68</v>
      </c>
      <c r="M4" s="185" t="s">
        <v>0</v>
      </c>
      <c r="N4" s="298" t="s">
        <v>29</v>
      </c>
      <c r="O4" s="298"/>
      <c r="P4" s="185" t="s">
        <v>0</v>
      </c>
      <c r="Q4" s="10" t="s">
        <v>8</v>
      </c>
      <c r="R4" s="98" t="s">
        <v>42</v>
      </c>
      <c r="S4" s="7" t="s">
        <v>43</v>
      </c>
      <c r="T4" s="109" t="s">
        <v>218</v>
      </c>
      <c r="U4" s="109" t="s">
        <v>64</v>
      </c>
      <c r="V4" s="109" t="s">
        <v>60</v>
      </c>
    </row>
    <row r="5" spans="1:22" ht="12.75" customHeight="1" hidden="1">
      <c r="A5" s="186"/>
      <c r="B5" s="187"/>
      <c r="C5" s="188"/>
      <c r="D5" s="188"/>
      <c r="E5" s="189">
        <f aca="true" t="shared" si="0" ref="E5:E30">SUM(G5,I5,K5,M5,P5)</f>
        <v>0</v>
      </c>
      <c r="F5" s="190"/>
      <c r="G5" s="188">
        <f aca="true" t="shared" si="1" ref="G5:G28">IF(F5&lt;&gt;0,INT(20.0479*(17-F5)^1.835),0)</f>
        <v>0</v>
      </c>
      <c r="H5" s="190"/>
      <c r="I5" s="188">
        <f aca="true" t="shared" si="2" ref="I5:I30">IF(H5&lt;&gt;0,INT(7.86*(H5-7.95)^1.1),0)</f>
        <v>0</v>
      </c>
      <c r="J5" s="190"/>
      <c r="K5" s="188">
        <f aca="true" t="shared" si="3" ref="K5:K30">IF(J5&lt;&gt;0,INT(46.0849*(13-J5)^1.81),0)</f>
        <v>0</v>
      </c>
      <c r="L5" s="190"/>
      <c r="M5" s="188">
        <f aca="true" t="shared" si="4" ref="M5:M30">IF(L5&lt;&gt;0,INT(0.188807*((L5*100)-210)^1.41),0)</f>
        <v>0</v>
      </c>
      <c r="N5" s="191"/>
      <c r="O5" s="192"/>
      <c r="P5" s="193">
        <f aca="true" t="shared" si="5" ref="P5:P23">IF(N5+O5&lt;&gt;0,INT(0.11193*(254-((N5*60)+O5))^1.88),0)</f>
        <v>0</v>
      </c>
      <c r="Q5" s="26"/>
      <c r="R5" s="5"/>
      <c r="S5" s="5"/>
      <c r="T5" s="39"/>
      <c r="U5" s="39"/>
      <c r="V5" s="39"/>
    </row>
    <row r="6" spans="1:22" ht="12.75">
      <c r="A6" s="171" t="s">
        <v>18</v>
      </c>
      <c r="B6" s="54" t="s">
        <v>185</v>
      </c>
      <c r="C6" s="55">
        <v>99</v>
      </c>
      <c r="D6" s="54" t="s">
        <v>91</v>
      </c>
      <c r="E6" s="169">
        <f t="shared" si="0"/>
        <v>3236</v>
      </c>
      <c r="F6" s="65">
        <v>9.54</v>
      </c>
      <c r="G6" s="62">
        <f t="shared" si="1"/>
        <v>800</v>
      </c>
      <c r="H6" s="62">
        <v>47.53</v>
      </c>
      <c r="I6" s="62">
        <f t="shared" si="2"/>
        <v>449</v>
      </c>
      <c r="J6" s="65">
        <v>8.23</v>
      </c>
      <c r="K6" s="62">
        <f t="shared" si="3"/>
        <v>779</v>
      </c>
      <c r="L6" s="65">
        <v>5.05</v>
      </c>
      <c r="M6" s="62">
        <f t="shared" si="4"/>
        <v>573</v>
      </c>
      <c r="N6" s="199">
        <v>2</v>
      </c>
      <c r="O6" s="200">
        <v>34.71</v>
      </c>
      <c r="P6" s="195">
        <f t="shared" si="5"/>
        <v>635</v>
      </c>
      <c r="Q6" s="54" t="s">
        <v>185</v>
      </c>
      <c r="R6" s="55">
        <v>99</v>
      </c>
      <c r="S6" s="54" t="s">
        <v>91</v>
      </c>
      <c r="T6" s="112" t="s">
        <v>207</v>
      </c>
      <c r="U6" s="112" t="s">
        <v>207</v>
      </c>
      <c r="V6" s="112" t="s">
        <v>226</v>
      </c>
    </row>
    <row r="7" spans="1:22" ht="12.75">
      <c r="A7" s="171" t="s">
        <v>19</v>
      </c>
      <c r="B7" s="54" t="s">
        <v>176</v>
      </c>
      <c r="C7" s="55">
        <v>99</v>
      </c>
      <c r="D7" s="54" t="s">
        <v>126</v>
      </c>
      <c r="E7" s="169">
        <f t="shared" si="0"/>
        <v>2477</v>
      </c>
      <c r="F7" s="65">
        <v>10.25</v>
      </c>
      <c r="G7" s="62">
        <f t="shared" si="1"/>
        <v>666</v>
      </c>
      <c r="H7" s="62">
        <v>35.68</v>
      </c>
      <c r="I7" s="62">
        <f t="shared" si="2"/>
        <v>303</v>
      </c>
      <c r="J7" s="65">
        <v>8.64</v>
      </c>
      <c r="K7" s="62">
        <f t="shared" si="3"/>
        <v>662</v>
      </c>
      <c r="L7" s="65">
        <v>4.56</v>
      </c>
      <c r="M7" s="62">
        <f t="shared" si="4"/>
        <v>443</v>
      </c>
      <c r="N7" s="199">
        <v>2</v>
      </c>
      <c r="O7" s="200">
        <v>55.98</v>
      </c>
      <c r="P7" s="195">
        <f t="shared" si="5"/>
        <v>403</v>
      </c>
      <c r="Q7" s="54" t="s">
        <v>176</v>
      </c>
      <c r="R7" s="55">
        <v>99</v>
      </c>
      <c r="S7" s="54" t="s">
        <v>126</v>
      </c>
      <c r="T7" s="112" t="s">
        <v>207</v>
      </c>
      <c r="U7" s="112" t="s">
        <v>207</v>
      </c>
      <c r="V7" s="112" t="s">
        <v>227</v>
      </c>
    </row>
    <row r="8" spans="1:22" ht="12.75">
      <c r="A8" s="171" t="s">
        <v>20</v>
      </c>
      <c r="B8" s="54" t="s">
        <v>177</v>
      </c>
      <c r="C8" s="55">
        <v>99</v>
      </c>
      <c r="D8" s="54" t="s">
        <v>110</v>
      </c>
      <c r="E8" s="169">
        <f t="shared" si="0"/>
        <v>2330</v>
      </c>
      <c r="F8" s="65">
        <v>10.67</v>
      </c>
      <c r="G8" s="62">
        <f t="shared" si="1"/>
        <v>592</v>
      </c>
      <c r="H8" s="62">
        <v>27.89</v>
      </c>
      <c r="I8" s="62">
        <f t="shared" si="2"/>
        <v>211</v>
      </c>
      <c r="J8" s="65">
        <v>8.75</v>
      </c>
      <c r="K8" s="62">
        <f t="shared" si="3"/>
        <v>632</v>
      </c>
      <c r="L8" s="65">
        <v>4.26</v>
      </c>
      <c r="M8" s="62">
        <f t="shared" si="4"/>
        <v>369</v>
      </c>
      <c r="N8" s="199">
        <v>2</v>
      </c>
      <c r="O8" s="200">
        <v>44.14</v>
      </c>
      <c r="P8" s="195">
        <f t="shared" si="5"/>
        <v>526</v>
      </c>
      <c r="Q8" s="54" t="s">
        <v>177</v>
      </c>
      <c r="R8" s="55">
        <v>99</v>
      </c>
      <c r="S8" s="54" t="s">
        <v>110</v>
      </c>
      <c r="T8" s="112" t="s">
        <v>207</v>
      </c>
      <c r="U8" s="112" t="s">
        <v>207</v>
      </c>
      <c r="V8" s="112" t="s">
        <v>207</v>
      </c>
    </row>
    <row r="9" spans="1:22" ht="12.75">
      <c r="A9" s="171" t="s">
        <v>21</v>
      </c>
      <c r="B9" s="51" t="s">
        <v>169</v>
      </c>
      <c r="C9" s="52">
        <v>99</v>
      </c>
      <c r="D9" s="51" t="s">
        <v>54</v>
      </c>
      <c r="E9" s="169">
        <f t="shared" si="0"/>
        <v>2303</v>
      </c>
      <c r="F9" s="65">
        <v>11.89</v>
      </c>
      <c r="G9" s="62">
        <f t="shared" si="1"/>
        <v>399</v>
      </c>
      <c r="H9" s="65">
        <v>47.04</v>
      </c>
      <c r="I9" s="62">
        <f t="shared" si="2"/>
        <v>443</v>
      </c>
      <c r="J9" s="65">
        <v>8.63</v>
      </c>
      <c r="K9" s="62">
        <f t="shared" si="3"/>
        <v>665</v>
      </c>
      <c r="L9" s="65">
        <v>4.2</v>
      </c>
      <c r="M9" s="62">
        <f t="shared" si="4"/>
        <v>355</v>
      </c>
      <c r="N9" s="194">
        <v>2</v>
      </c>
      <c r="O9" s="64">
        <v>52.21</v>
      </c>
      <c r="P9" s="195">
        <f t="shared" si="5"/>
        <v>441</v>
      </c>
      <c r="Q9" s="51" t="s">
        <v>169</v>
      </c>
      <c r="R9" s="52">
        <v>99</v>
      </c>
      <c r="S9" s="51" t="s">
        <v>54</v>
      </c>
      <c r="T9" s="112" t="s">
        <v>217</v>
      </c>
      <c r="U9" s="112" t="s">
        <v>207</v>
      </c>
      <c r="V9" s="112" t="s">
        <v>67</v>
      </c>
    </row>
    <row r="10" spans="1:22" ht="12.75">
      <c r="A10" s="171" t="s">
        <v>22</v>
      </c>
      <c r="B10" s="54" t="s">
        <v>191</v>
      </c>
      <c r="C10" s="55">
        <v>99</v>
      </c>
      <c r="D10" s="54" t="s">
        <v>104</v>
      </c>
      <c r="E10" s="169">
        <f t="shared" si="0"/>
        <v>2256</v>
      </c>
      <c r="F10" s="65">
        <v>10.94</v>
      </c>
      <c r="G10" s="62">
        <f t="shared" si="1"/>
        <v>546</v>
      </c>
      <c r="H10" s="62">
        <v>40.44</v>
      </c>
      <c r="I10" s="62">
        <f t="shared" si="2"/>
        <v>361</v>
      </c>
      <c r="J10" s="65">
        <v>9.1</v>
      </c>
      <c r="K10" s="62">
        <f t="shared" si="3"/>
        <v>541</v>
      </c>
      <c r="L10" s="65">
        <v>4.28</v>
      </c>
      <c r="M10" s="62">
        <f t="shared" si="4"/>
        <v>374</v>
      </c>
      <c r="N10" s="199">
        <v>2</v>
      </c>
      <c r="O10" s="200">
        <v>52.87</v>
      </c>
      <c r="P10" s="195">
        <f t="shared" si="5"/>
        <v>434</v>
      </c>
      <c r="Q10" s="54" t="s">
        <v>191</v>
      </c>
      <c r="R10" s="55">
        <v>99</v>
      </c>
      <c r="S10" s="54" t="s">
        <v>104</v>
      </c>
      <c r="T10" s="112" t="s">
        <v>217</v>
      </c>
      <c r="U10" s="112" t="s">
        <v>207</v>
      </c>
      <c r="V10" s="112" t="s">
        <v>208</v>
      </c>
    </row>
    <row r="11" spans="1:22" ht="12.75">
      <c r="A11" s="171" t="s">
        <v>23</v>
      </c>
      <c r="B11" s="54" t="s">
        <v>192</v>
      </c>
      <c r="C11" s="55">
        <v>99</v>
      </c>
      <c r="D11" s="54" t="s">
        <v>93</v>
      </c>
      <c r="E11" s="169">
        <f t="shared" si="0"/>
        <v>2178</v>
      </c>
      <c r="F11" s="65">
        <v>10.81</v>
      </c>
      <c r="G11" s="62">
        <f t="shared" si="1"/>
        <v>568</v>
      </c>
      <c r="H11" s="62">
        <v>30.07</v>
      </c>
      <c r="I11" s="62">
        <f t="shared" si="2"/>
        <v>236</v>
      </c>
      <c r="J11" s="65">
        <v>9.02</v>
      </c>
      <c r="K11" s="62">
        <f t="shared" si="3"/>
        <v>561</v>
      </c>
      <c r="L11" s="65">
        <v>4.34</v>
      </c>
      <c r="M11" s="62">
        <f t="shared" si="4"/>
        <v>388</v>
      </c>
      <c r="N11" s="199">
        <v>2</v>
      </c>
      <c r="O11" s="200">
        <v>53.8</v>
      </c>
      <c r="P11" s="195">
        <f t="shared" si="5"/>
        <v>425</v>
      </c>
      <c r="Q11" s="54" t="s">
        <v>192</v>
      </c>
      <c r="R11" s="55">
        <v>99</v>
      </c>
      <c r="S11" s="54" t="s">
        <v>93</v>
      </c>
      <c r="T11" s="112" t="s">
        <v>207</v>
      </c>
      <c r="U11" s="112" t="s">
        <v>207</v>
      </c>
      <c r="V11" s="112" t="s">
        <v>207</v>
      </c>
    </row>
    <row r="12" spans="1:22" ht="12.75">
      <c r="A12" s="171" t="s">
        <v>24</v>
      </c>
      <c r="B12" s="51" t="s">
        <v>175</v>
      </c>
      <c r="C12" s="52">
        <v>99</v>
      </c>
      <c r="D12" s="51" t="s">
        <v>110</v>
      </c>
      <c r="E12" s="169">
        <f t="shared" si="0"/>
        <v>2172</v>
      </c>
      <c r="F12" s="65">
        <v>10.98</v>
      </c>
      <c r="G12" s="62">
        <f t="shared" si="1"/>
        <v>540</v>
      </c>
      <c r="H12" s="62">
        <v>41.51</v>
      </c>
      <c r="I12" s="62">
        <f t="shared" si="2"/>
        <v>374</v>
      </c>
      <c r="J12" s="65">
        <v>9.23</v>
      </c>
      <c r="K12" s="62">
        <f t="shared" si="3"/>
        <v>509</v>
      </c>
      <c r="L12" s="65">
        <v>4.35</v>
      </c>
      <c r="M12" s="62">
        <f t="shared" si="4"/>
        <v>391</v>
      </c>
      <c r="N12" s="199">
        <v>3</v>
      </c>
      <c r="O12" s="200">
        <v>0.77</v>
      </c>
      <c r="P12" s="195">
        <f t="shared" si="5"/>
        <v>358</v>
      </c>
      <c r="Q12" s="51" t="s">
        <v>175</v>
      </c>
      <c r="R12" s="52">
        <v>99</v>
      </c>
      <c r="S12" s="51" t="s">
        <v>110</v>
      </c>
      <c r="T12" s="112" t="s">
        <v>217</v>
      </c>
      <c r="U12" s="112" t="s">
        <v>207</v>
      </c>
      <c r="V12" s="112" t="s">
        <v>208</v>
      </c>
    </row>
    <row r="13" spans="1:22" ht="12.75">
      <c r="A13" s="171" t="s">
        <v>25</v>
      </c>
      <c r="B13" s="54" t="s">
        <v>188</v>
      </c>
      <c r="C13" s="55">
        <v>99</v>
      </c>
      <c r="D13" s="201" t="s">
        <v>89</v>
      </c>
      <c r="E13" s="169">
        <f t="shared" si="0"/>
        <v>2156</v>
      </c>
      <c r="F13" s="65">
        <v>10.89</v>
      </c>
      <c r="G13" s="62">
        <f t="shared" si="1"/>
        <v>555</v>
      </c>
      <c r="H13" s="62">
        <v>42.79</v>
      </c>
      <c r="I13" s="62">
        <f t="shared" si="2"/>
        <v>390</v>
      </c>
      <c r="J13" s="65">
        <v>9.13</v>
      </c>
      <c r="K13" s="62">
        <f t="shared" si="3"/>
        <v>533</v>
      </c>
      <c r="L13" s="65">
        <v>3.97</v>
      </c>
      <c r="M13" s="62">
        <f t="shared" si="4"/>
        <v>301</v>
      </c>
      <c r="N13" s="199">
        <v>2</v>
      </c>
      <c r="O13" s="200">
        <v>58.75</v>
      </c>
      <c r="P13" s="195">
        <f t="shared" si="5"/>
        <v>377</v>
      </c>
      <c r="Q13" s="54" t="s">
        <v>188</v>
      </c>
      <c r="R13" s="55">
        <v>99</v>
      </c>
      <c r="S13" s="201" t="s">
        <v>89</v>
      </c>
      <c r="T13" s="112" t="s">
        <v>207</v>
      </c>
      <c r="U13" s="112" t="s">
        <v>219</v>
      </c>
      <c r="V13" s="112" t="s">
        <v>228</v>
      </c>
    </row>
    <row r="14" spans="1:22" ht="12.75">
      <c r="A14" s="171" t="s">
        <v>26</v>
      </c>
      <c r="B14" s="54" t="s">
        <v>189</v>
      </c>
      <c r="C14" s="55">
        <v>99</v>
      </c>
      <c r="D14" s="54" t="s">
        <v>190</v>
      </c>
      <c r="E14" s="169">
        <f t="shared" si="0"/>
        <v>2107</v>
      </c>
      <c r="F14" s="65">
        <v>11.53</v>
      </c>
      <c r="G14" s="62">
        <f t="shared" si="1"/>
        <v>453</v>
      </c>
      <c r="H14" s="62">
        <v>34.18</v>
      </c>
      <c r="I14" s="62">
        <f t="shared" si="2"/>
        <v>285</v>
      </c>
      <c r="J14" s="65">
        <v>9.02</v>
      </c>
      <c r="K14" s="62">
        <f t="shared" si="3"/>
        <v>561</v>
      </c>
      <c r="L14" s="65">
        <v>4.38</v>
      </c>
      <c r="M14" s="62">
        <f t="shared" si="4"/>
        <v>398</v>
      </c>
      <c r="N14" s="199">
        <v>2</v>
      </c>
      <c r="O14" s="200">
        <v>55.35</v>
      </c>
      <c r="P14" s="195">
        <f t="shared" si="5"/>
        <v>410</v>
      </c>
      <c r="Q14" s="54" t="s">
        <v>189</v>
      </c>
      <c r="R14" s="55">
        <v>99</v>
      </c>
      <c r="S14" s="54" t="s">
        <v>190</v>
      </c>
      <c r="T14" s="112" t="s">
        <v>207</v>
      </c>
      <c r="U14" s="112" t="s">
        <v>219</v>
      </c>
      <c r="V14" s="112" t="s">
        <v>226</v>
      </c>
    </row>
    <row r="15" spans="1:22" ht="12.75">
      <c r="A15" s="171" t="s">
        <v>27</v>
      </c>
      <c r="B15" s="54" t="s">
        <v>194</v>
      </c>
      <c r="C15" s="55">
        <v>99</v>
      </c>
      <c r="D15" s="54" t="s">
        <v>190</v>
      </c>
      <c r="E15" s="169">
        <f t="shared" si="0"/>
        <v>2026</v>
      </c>
      <c r="F15" s="65">
        <v>11.68</v>
      </c>
      <c r="G15" s="62">
        <f t="shared" si="1"/>
        <v>430</v>
      </c>
      <c r="H15" s="62">
        <v>37.49</v>
      </c>
      <c r="I15" s="62">
        <f t="shared" si="2"/>
        <v>325</v>
      </c>
      <c r="J15" s="65">
        <v>9.37</v>
      </c>
      <c r="K15" s="62">
        <f t="shared" si="3"/>
        <v>475</v>
      </c>
      <c r="L15" s="65">
        <v>4.19</v>
      </c>
      <c r="M15" s="62">
        <f t="shared" si="4"/>
        <v>352</v>
      </c>
      <c r="N15" s="199">
        <v>2</v>
      </c>
      <c r="O15" s="200">
        <v>51.94</v>
      </c>
      <c r="P15" s="195">
        <f t="shared" si="5"/>
        <v>444</v>
      </c>
      <c r="Q15" s="54" t="s">
        <v>194</v>
      </c>
      <c r="R15" s="55">
        <v>99</v>
      </c>
      <c r="S15" s="54" t="s">
        <v>190</v>
      </c>
      <c r="T15" s="112" t="s">
        <v>217</v>
      </c>
      <c r="U15" s="112" t="s">
        <v>220</v>
      </c>
      <c r="V15" s="112" t="s">
        <v>212</v>
      </c>
    </row>
    <row r="16" spans="1:22" ht="12.75">
      <c r="A16" s="171" t="s">
        <v>30</v>
      </c>
      <c r="B16" s="54" t="s">
        <v>193</v>
      </c>
      <c r="C16" s="55">
        <v>99</v>
      </c>
      <c r="D16" s="54" t="s">
        <v>110</v>
      </c>
      <c r="E16" s="169">
        <f t="shared" si="0"/>
        <v>1993</v>
      </c>
      <c r="F16" s="65">
        <v>11.02</v>
      </c>
      <c r="G16" s="62">
        <f t="shared" si="1"/>
        <v>533</v>
      </c>
      <c r="H16" s="62">
        <v>31.25</v>
      </c>
      <c r="I16" s="62">
        <f t="shared" si="2"/>
        <v>250</v>
      </c>
      <c r="J16" s="65">
        <v>9.15</v>
      </c>
      <c r="K16" s="62">
        <f t="shared" si="3"/>
        <v>528</v>
      </c>
      <c r="L16" s="65">
        <v>4.09</v>
      </c>
      <c r="M16" s="62">
        <f t="shared" si="4"/>
        <v>329</v>
      </c>
      <c r="N16" s="199">
        <v>3</v>
      </c>
      <c r="O16" s="200">
        <v>1.33</v>
      </c>
      <c r="P16" s="195">
        <f t="shared" si="5"/>
        <v>353</v>
      </c>
      <c r="Q16" s="54" t="s">
        <v>193</v>
      </c>
      <c r="R16" s="55">
        <v>99</v>
      </c>
      <c r="S16" s="54" t="s">
        <v>110</v>
      </c>
      <c r="T16" s="112" t="s">
        <v>207</v>
      </c>
      <c r="U16" s="112" t="s">
        <v>219</v>
      </c>
      <c r="V16" s="112" t="s">
        <v>229</v>
      </c>
    </row>
    <row r="17" spans="1:22" ht="12.75">
      <c r="A17" s="171" t="s">
        <v>31</v>
      </c>
      <c r="B17" s="51" t="s">
        <v>187</v>
      </c>
      <c r="C17" s="52">
        <v>99</v>
      </c>
      <c r="D17" s="51" t="s">
        <v>181</v>
      </c>
      <c r="E17" s="169">
        <f t="shared" si="0"/>
        <v>1958</v>
      </c>
      <c r="F17" s="65">
        <v>11.53</v>
      </c>
      <c r="G17" s="62">
        <f t="shared" si="1"/>
        <v>453</v>
      </c>
      <c r="H17" s="62">
        <v>40.45</v>
      </c>
      <c r="I17" s="62">
        <f t="shared" si="2"/>
        <v>361</v>
      </c>
      <c r="J17" s="65">
        <v>9.38</v>
      </c>
      <c r="K17" s="62">
        <f t="shared" si="3"/>
        <v>472</v>
      </c>
      <c r="L17" s="65">
        <v>3.89</v>
      </c>
      <c r="M17" s="62">
        <f t="shared" si="4"/>
        <v>283</v>
      </c>
      <c r="N17" s="199">
        <v>2</v>
      </c>
      <c r="O17" s="200">
        <v>57.46</v>
      </c>
      <c r="P17" s="195">
        <f t="shared" si="5"/>
        <v>389</v>
      </c>
      <c r="Q17" s="51" t="s">
        <v>187</v>
      </c>
      <c r="R17" s="52">
        <v>99</v>
      </c>
      <c r="S17" s="51" t="s">
        <v>181</v>
      </c>
      <c r="T17" s="112" t="s">
        <v>217</v>
      </c>
      <c r="U17" s="112" t="s">
        <v>220</v>
      </c>
      <c r="V17" s="112" t="s">
        <v>213</v>
      </c>
    </row>
    <row r="18" spans="1:22" ht="12.75">
      <c r="A18" s="171" t="s">
        <v>32</v>
      </c>
      <c r="B18" s="51" t="s">
        <v>174</v>
      </c>
      <c r="C18" s="52">
        <v>99</v>
      </c>
      <c r="D18" s="51" t="s">
        <v>89</v>
      </c>
      <c r="E18" s="169">
        <f t="shared" si="0"/>
        <v>1887</v>
      </c>
      <c r="F18" s="196">
        <v>12.02</v>
      </c>
      <c r="G18" s="62">
        <f t="shared" si="1"/>
        <v>381</v>
      </c>
      <c r="H18" s="196">
        <v>33.82</v>
      </c>
      <c r="I18" s="62">
        <f t="shared" si="2"/>
        <v>281</v>
      </c>
      <c r="J18" s="196">
        <v>9.18</v>
      </c>
      <c r="K18" s="62">
        <f t="shared" si="3"/>
        <v>521</v>
      </c>
      <c r="L18" s="196">
        <v>3.86</v>
      </c>
      <c r="M18" s="62">
        <f t="shared" si="4"/>
        <v>276</v>
      </c>
      <c r="N18" s="197">
        <v>2</v>
      </c>
      <c r="O18" s="198">
        <v>53.47</v>
      </c>
      <c r="P18" s="195">
        <f t="shared" si="5"/>
        <v>428</v>
      </c>
      <c r="Q18" s="51" t="s">
        <v>174</v>
      </c>
      <c r="R18" s="52">
        <v>99</v>
      </c>
      <c r="S18" s="51" t="s">
        <v>89</v>
      </c>
      <c r="T18" s="112" t="s">
        <v>207</v>
      </c>
      <c r="U18" s="112" t="s">
        <v>207</v>
      </c>
      <c r="V18" s="112" t="s">
        <v>207</v>
      </c>
    </row>
    <row r="19" spans="1:22" ht="12.75">
      <c r="A19" s="171" t="s">
        <v>33</v>
      </c>
      <c r="B19" s="51" t="s">
        <v>179</v>
      </c>
      <c r="C19" s="52">
        <v>0</v>
      </c>
      <c r="D19" s="51" t="s">
        <v>104</v>
      </c>
      <c r="E19" s="169">
        <f t="shared" si="0"/>
        <v>1828</v>
      </c>
      <c r="F19" s="65">
        <v>13.32</v>
      </c>
      <c r="G19" s="62">
        <f t="shared" si="1"/>
        <v>218</v>
      </c>
      <c r="H19" s="62">
        <v>33.58</v>
      </c>
      <c r="I19" s="62">
        <f t="shared" si="2"/>
        <v>278</v>
      </c>
      <c r="J19" s="65">
        <v>9.05</v>
      </c>
      <c r="K19" s="62">
        <f t="shared" si="3"/>
        <v>553</v>
      </c>
      <c r="L19" s="65">
        <v>3.66</v>
      </c>
      <c r="M19" s="62">
        <f t="shared" si="4"/>
        <v>233</v>
      </c>
      <c r="N19" s="199">
        <v>2</v>
      </c>
      <c r="O19" s="200">
        <v>42.41</v>
      </c>
      <c r="P19" s="195">
        <f t="shared" si="5"/>
        <v>546</v>
      </c>
      <c r="Q19" s="51" t="s">
        <v>179</v>
      </c>
      <c r="R19" s="52">
        <v>99</v>
      </c>
      <c r="S19" s="51" t="s">
        <v>104</v>
      </c>
      <c r="T19" s="112" t="s">
        <v>217</v>
      </c>
      <c r="U19" s="112" t="s">
        <v>219</v>
      </c>
      <c r="V19" s="112" t="s">
        <v>230</v>
      </c>
    </row>
    <row r="20" spans="1:22" ht="12.75">
      <c r="A20" s="171" t="s">
        <v>34</v>
      </c>
      <c r="B20" s="54" t="s">
        <v>178</v>
      </c>
      <c r="C20" s="55">
        <v>99</v>
      </c>
      <c r="D20" s="54" t="s">
        <v>173</v>
      </c>
      <c r="E20" s="169">
        <f t="shared" si="0"/>
        <v>1818</v>
      </c>
      <c r="F20" s="65">
        <v>12.66</v>
      </c>
      <c r="G20" s="62">
        <f t="shared" si="1"/>
        <v>296</v>
      </c>
      <c r="H20" s="62">
        <v>27.13</v>
      </c>
      <c r="I20" s="62">
        <f t="shared" si="2"/>
        <v>202</v>
      </c>
      <c r="J20" s="65">
        <v>8.78</v>
      </c>
      <c r="K20" s="62">
        <f t="shared" si="3"/>
        <v>624</v>
      </c>
      <c r="L20" s="65">
        <v>4.31</v>
      </c>
      <c r="M20" s="62">
        <f t="shared" si="4"/>
        <v>381</v>
      </c>
      <c r="N20" s="199">
        <v>3</v>
      </c>
      <c r="O20" s="200">
        <v>5.58</v>
      </c>
      <c r="P20" s="195">
        <f t="shared" si="5"/>
        <v>315</v>
      </c>
      <c r="Q20" s="54" t="s">
        <v>178</v>
      </c>
      <c r="R20" s="55">
        <v>99</v>
      </c>
      <c r="S20" s="54" t="s">
        <v>173</v>
      </c>
      <c r="T20" s="112" t="s">
        <v>212</v>
      </c>
      <c r="U20" s="112" t="s">
        <v>219</v>
      </c>
      <c r="V20" s="112" t="s">
        <v>227</v>
      </c>
    </row>
    <row r="21" spans="1:22" ht="12.75">
      <c r="A21" s="171" t="s">
        <v>35</v>
      </c>
      <c r="B21" s="54" t="s">
        <v>184</v>
      </c>
      <c r="C21" s="55">
        <v>0</v>
      </c>
      <c r="D21" s="54" t="s">
        <v>104</v>
      </c>
      <c r="E21" s="169">
        <f t="shared" si="0"/>
        <v>1704</v>
      </c>
      <c r="F21" s="65">
        <v>12.46</v>
      </c>
      <c r="G21" s="62">
        <f t="shared" si="1"/>
        <v>321</v>
      </c>
      <c r="H21" s="62">
        <v>25.79</v>
      </c>
      <c r="I21" s="62">
        <f t="shared" si="2"/>
        <v>187</v>
      </c>
      <c r="J21" s="65">
        <v>9.2</v>
      </c>
      <c r="K21" s="62">
        <f t="shared" si="3"/>
        <v>516</v>
      </c>
      <c r="L21" s="65">
        <v>3.85</v>
      </c>
      <c r="M21" s="62">
        <f t="shared" si="4"/>
        <v>274</v>
      </c>
      <c r="N21" s="199">
        <v>2</v>
      </c>
      <c r="O21" s="200">
        <v>55.7</v>
      </c>
      <c r="P21" s="195">
        <f t="shared" si="5"/>
        <v>406</v>
      </c>
      <c r="Q21" s="54" t="s">
        <v>184</v>
      </c>
      <c r="R21" s="55">
        <v>0</v>
      </c>
      <c r="S21" s="54" t="s">
        <v>104</v>
      </c>
      <c r="T21" s="112" t="s">
        <v>212</v>
      </c>
      <c r="U21" s="112" t="s">
        <v>219</v>
      </c>
      <c r="V21" s="112" t="s">
        <v>207</v>
      </c>
    </row>
    <row r="22" spans="1:22" ht="12.75">
      <c r="A22" s="171" t="s">
        <v>36</v>
      </c>
      <c r="B22" s="54" t="s">
        <v>180</v>
      </c>
      <c r="C22" s="55">
        <v>99</v>
      </c>
      <c r="D22" s="54" t="s">
        <v>181</v>
      </c>
      <c r="E22" s="169">
        <f t="shared" si="0"/>
        <v>1650</v>
      </c>
      <c r="F22" s="65">
        <v>12.72</v>
      </c>
      <c r="G22" s="62">
        <f t="shared" si="1"/>
        <v>288</v>
      </c>
      <c r="H22" s="62">
        <v>38.77</v>
      </c>
      <c r="I22" s="62">
        <f t="shared" si="2"/>
        <v>341</v>
      </c>
      <c r="J22" s="65">
        <v>9.49</v>
      </c>
      <c r="K22" s="62">
        <f t="shared" si="3"/>
        <v>447</v>
      </c>
      <c r="L22" s="65">
        <v>3.61</v>
      </c>
      <c r="M22" s="62">
        <f t="shared" si="4"/>
        <v>223</v>
      </c>
      <c r="N22" s="199">
        <v>3</v>
      </c>
      <c r="O22" s="200">
        <v>1.49</v>
      </c>
      <c r="P22" s="195">
        <f t="shared" si="5"/>
        <v>351</v>
      </c>
      <c r="Q22" s="54" t="s">
        <v>180</v>
      </c>
      <c r="R22" s="55">
        <v>99</v>
      </c>
      <c r="S22" s="54" t="s">
        <v>181</v>
      </c>
      <c r="T22" s="112" t="s">
        <v>212</v>
      </c>
      <c r="U22" s="112" t="s">
        <v>217</v>
      </c>
      <c r="V22" s="112" t="s">
        <v>226</v>
      </c>
    </row>
    <row r="23" spans="1:22" ht="12.75">
      <c r="A23" s="171" t="s">
        <v>37</v>
      </c>
      <c r="B23" s="54" t="s">
        <v>186</v>
      </c>
      <c r="C23" s="55">
        <v>99</v>
      </c>
      <c r="D23" s="54" t="s">
        <v>89</v>
      </c>
      <c r="E23" s="169">
        <f t="shared" si="0"/>
        <v>1588</v>
      </c>
      <c r="F23" s="65">
        <v>13.66</v>
      </c>
      <c r="G23" s="62">
        <f t="shared" si="1"/>
        <v>183</v>
      </c>
      <c r="H23" s="62">
        <v>27.25</v>
      </c>
      <c r="I23" s="62">
        <f t="shared" si="2"/>
        <v>203</v>
      </c>
      <c r="J23" s="65">
        <v>9.05</v>
      </c>
      <c r="K23" s="62">
        <f t="shared" si="3"/>
        <v>553</v>
      </c>
      <c r="L23" s="65">
        <v>3.9</v>
      </c>
      <c r="M23" s="62">
        <f t="shared" si="4"/>
        <v>285</v>
      </c>
      <c r="N23" s="199">
        <v>3</v>
      </c>
      <c r="O23" s="200">
        <v>0.15</v>
      </c>
      <c r="P23" s="195">
        <f t="shared" si="5"/>
        <v>364</v>
      </c>
      <c r="Q23" s="54" t="s">
        <v>186</v>
      </c>
      <c r="R23" s="55">
        <v>99</v>
      </c>
      <c r="S23" s="54" t="s">
        <v>89</v>
      </c>
      <c r="T23" s="112" t="s">
        <v>217</v>
      </c>
      <c r="U23" s="112" t="s">
        <v>220</v>
      </c>
      <c r="V23" s="112" t="s">
        <v>207</v>
      </c>
    </row>
    <row r="24" spans="1:22" ht="12.75">
      <c r="A24" s="171" t="s">
        <v>38</v>
      </c>
      <c r="B24" s="205" t="s">
        <v>171</v>
      </c>
      <c r="C24" s="206">
        <v>99</v>
      </c>
      <c r="D24" s="205" t="s">
        <v>54</v>
      </c>
      <c r="E24" s="169">
        <f t="shared" si="0"/>
        <v>1548</v>
      </c>
      <c r="F24" s="196">
        <v>11.78</v>
      </c>
      <c r="G24" s="62">
        <f t="shared" si="1"/>
        <v>415</v>
      </c>
      <c r="H24" s="196">
        <v>38.91</v>
      </c>
      <c r="I24" s="62">
        <f t="shared" si="2"/>
        <v>343</v>
      </c>
      <c r="J24" s="196">
        <v>9.29</v>
      </c>
      <c r="K24" s="62">
        <f t="shared" si="3"/>
        <v>494</v>
      </c>
      <c r="L24" s="196">
        <v>3.95</v>
      </c>
      <c r="M24" s="62">
        <f t="shared" si="4"/>
        <v>296</v>
      </c>
      <c r="N24" s="197"/>
      <c r="O24" s="198" t="s">
        <v>216</v>
      </c>
      <c r="P24" s="195">
        <v>0</v>
      </c>
      <c r="Q24" s="205" t="s">
        <v>171</v>
      </c>
      <c r="R24" s="206">
        <v>99</v>
      </c>
      <c r="S24" s="205" t="s">
        <v>54</v>
      </c>
      <c r="T24" s="112" t="s">
        <v>212</v>
      </c>
      <c r="U24" s="112" t="s">
        <v>219</v>
      </c>
      <c r="V24" s="112" t="s">
        <v>208</v>
      </c>
    </row>
    <row r="25" spans="1:22" ht="12.75">
      <c r="A25" s="171" t="s">
        <v>39</v>
      </c>
      <c r="B25" s="54" t="s">
        <v>195</v>
      </c>
      <c r="C25" s="55">
        <v>0</v>
      </c>
      <c r="D25" s="54" t="s">
        <v>57</v>
      </c>
      <c r="E25" s="169">
        <f t="shared" si="0"/>
        <v>1503</v>
      </c>
      <c r="F25" s="65">
        <v>12.22</v>
      </c>
      <c r="G25" s="62">
        <f t="shared" si="1"/>
        <v>353</v>
      </c>
      <c r="H25" s="62">
        <v>28.05</v>
      </c>
      <c r="I25" s="62">
        <f t="shared" si="2"/>
        <v>213</v>
      </c>
      <c r="J25" s="65">
        <v>9.68</v>
      </c>
      <c r="K25" s="62">
        <f t="shared" si="3"/>
        <v>404</v>
      </c>
      <c r="L25" s="65">
        <v>3.44</v>
      </c>
      <c r="M25" s="62">
        <f t="shared" si="4"/>
        <v>188</v>
      </c>
      <c r="N25" s="199">
        <v>3</v>
      </c>
      <c r="O25" s="200">
        <v>2.16</v>
      </c>
      <c r="P25" s="195">
        <f>IF(N25+O25&lt;&gt;0,INT(0.11193*(254-((N25*60)+O25))^1.88),0)</f>
        <v>345</v>
      </c>
      <c r="Q25" s="54" t="s">
        <v>195</v>
      </c>
      <c r="R25" s="55">
        <v>0</v>
      </c>
      <c r="S25" s="54" t="s">
        <v>57</v>
      </c>
      <c r="T25" s="112" t="s">
        <v>212</v>
      </c>
      <c r="U25" s="112" t="s">
        <v>217</v>
      </c>
      <c r="V25" s="112" t="s">
        <v>231</v>
      </c>
    </row>
    <row r="26" spans="1:22" ht="12.75">
      <c r="A26" s="171" t="s">
        <v>40</v>
      </c>
      <c r="B26" s="54" t="s">
        <v>183</v>
      </c>
      <c r="C26" s="55">
        <v>0</v>
      </c>
      <c r="D26" s="54" t="s">
        <v>80</v>
      </c>
      <c r="E26" s="169">
        <f t="shared" si="0"/>
        <v>1469</v>
      </c>
      <c r="F26" s="65">
        <v>12.61</v>
      </c>
      <c r="G26" s="62">
        <f t="shared" si="1"/>
        <v>302</v>
      </c>
      <c r="H26" s="62">
        <v>24.39</v>
      </c>
      <c r="I26" s="62">
        <f t="shared" si="2"/>
        <v>170</v>
      </c>
      <c r="J26" s="65">
        <v>9.41</v>
      </c>
      <c r="K26" s="62">
        <f t="shared" si="3"/>
        <v>465</v>
      </c>
      <c r="L26" s="65">
        <v>3.84</v>
      </c>
      <c r="M26" s="62">
        <f t="shared" si="4"/>
        <v>272</v>
      </c>
      <c r="N26" s="199">
        <v>3</v>
      </c>
      <c r="O26" s="200">
        <v>12.22</v>
      </c>
      <c r="P26" s="195">
        <f>IF(N26+O26&lt;&gt;0,INT(0.11193*(254-((N26*60)+O26))^1.88),0)</f>
        <v>260</v>
      </c>
      <c r="Q26" s="54" t="s">
        <v>183</v>
      </c>
      <c r="R26" s="55">
        <v>0</v>
      </c>
      <c r="S26" s="54" t="s">
        <v>80</v>
      </c>
      <c r="T26" s="112" t="s">
        <v>212</v>
      </c>
      <c r="U26" s="112" t="s">
        <v>220</v>
      </c>
      <c r="V26" s="112" t="s">
        <v>207</v>
      </c>
    </row>
    <row r="27" spans="1:22" ht="12.75">
      <c r="A27" s="171" t="s">
        <v>41</v>
      </c>
      <c r="B27" s="54" t="s">
        <v>182</v>
      </c>
      <c r="C27" s="55">
        <v>0</v>
      </c>
      <c r="D27" s="54" t="s">
        <v>104</v>
      </c>
      <c r="E27" s="169">
        <f t="shared" si="0"/>
        <v>1443</v>
      </c>
      <c r="F27" s="65">
        <v>13.57</v>
      </c>
      <c r="G27" s="62">
        <f t="shared" si="1"/>
        <v>192</v>
      </c>
      <c r="H27" s="62">
        <v>26.65</v>
      </c>
      <c r="I27" s="62">
        <f t="shared" si="2"/>
        <v>196</v>
      </c>
      <c r="J27" s="65">
        <v>9.13</v>
      </c>
      <c r="K27" s="62">
        <f t="shared" si="3"/>
        <v>533</v>
      </c>
      <c r="L27" s="65">
        <v>3.2</v>
      </c>
      <c r="M27" s="62">
        <f t="shared" si="4"/>
        <v>142</v>
      </c>
      <c r="N27" s="199">
        <v>2</v>
      </c>
      <c r="O27" s="200">
        <v>58.47</v>
      </c>
      <c r="P27" s="195">
        <f>IF(N27+O27&lt;&gt;0,INT(0.11193*(254-((N27*60)+O27))^1.88),0)</f>
        <v>380</v>
      </c>
      <c r="Q27" s="54" t="s">
        <v>182</v>
      </c>
      <c r="R27" s="55">
        <v>0</v>
      </c>
      <c r="S27" s="54" t="s">
        <v>104</v>
      </c>
      <c r="T27" s="112" t="s">
        <v>217</v>
      </c>
      <c r="U27" s="112" t="s">
        <v>220</v>
      </c>
      <c r="V27" s="112" t="s">
        <v>207</v>
      </c>
    </row>
    <row r="28" spans="1:22" ht="12.75">
      <c r="A28" s="171" t="s">
        <v>55</v>
      </c>
      <c r="B28" s="54" t="s">
        <v>172</v>
      </c>
      <c r="C28" s="55">
        <v>0</v>
      </c>
      <c r="D28" s="54" t="s">
        <v>173</v>
      </c>
      <c r="E28" s="169">
        <f t="shared" si="0"/>
        <v>1322</v>
      </c>
      <c r="F28" s="65">
        <v>13.15</v>
      </c>
      <c r="G28" s="62">
        <f t="shared" si="1"/>
        <v>237</v>
      </c>
      <c r="H28" s="62">
        <v>25.06</v>
      </c>
      <c r="I28" s="62">
        <f t="shared" si="2"/>
        <v>178</v>
      </c>
      <c r="J28" s="65">
        <v>9.38</v>
      </c>
      <c r="K28" s="62">
        <f t="shared" si="3"/>
        <v>472</v>
      </c>
      <c r="L28" s="65">
        <v>3.48</v>
      </c>
      <c r="M28" s="62">
        <f t="shared" si="4"/>
        <v>196</v>
      </c>
      <c r="N28" s="199">
        <v>3</v>
      </c>
      <c r="O28" s="200">
        <v>14.92</v>
      </c>
      <c r="P28" s="195">
        <f>IF(N28+O28&lt;&gt;0,INT(0.11193*(254-((N28*60)+O28))^1.88),0)</f>
        <v>239</v>
      </c>
      <c r="Q28" s="54" t="s">
        <v>172</v>
      </c>
      <c r="R28" s="55">
        <v>0</v>
      </c>
      <c r="S28" s="54" t="s">
        <v>173</v>
      </c>
      <c r="T28" s="112" t="s">
        <v>212</v>
      </c>
      <c r="U28" s="112" t="s">
        <v>217</v>
      </c>
      <c r="V28" s="112" t="s">
        <v>229</v>
      </c>
    </row>
    <row r="29" spans="1:22" ht="12.75">
      <c r="A29" s="171" t="s">
        <v>56</v>
      </c>
      <c r="B29" s="51" t="s">
        <v>198</v>
      </c>
      <c r="C29" s="52">
        <v>99</v>
      </c>
      <c r="D29" s="51" t="s">
        <v>181</v>
      </c>
      <c r="E29" s="169">
        <f t="shared" si="0"/>
        <v>1279</v>
      </c>
      <c r="F29" s="65" t="s">
        <v>209</v>
      </c>
      <c r="G29" s="62">
        <v>0</v>
      </c>
      <c r="H29" s="62">
        <v>28.04</v>
      </c>
      <c r="I29" s="62">
        <f t="shared" si="2"/>
        <v>213</v>
      </c>
      <c r="J29" s="65">
        <v>9.57</v>
      </c>
      <c r="K29" s="62">
        <f t="shared" si="3"/>
        <v>428</v>
      </c>
      <c r="L29" s="65">
        <v>3.85</v>
      </c>
      <c r="M29" s="62">
        <f t="shared" si="4"/>
        <v>274</v>
      </c>
      <c r="N29" s="199">
        <v>3</v>
      </c>
      <c r="O29" s="200">
        <v>0.12</v>
      </c>
      <c r="P29" s="195">
        <f>IF(N29+O29&lt;&gt;0,INT(0.11193*(254-((N29*60)+O29))^1.88),0)</f>
        <v>364</v>
      </c>
      <c r="Q29" s="51" t="s">
        <v>198</v>
      </c>
      <c r="R29" s="52">
        <v>99</v>
      </c>
      <c r="S29" s="51" t="s">
        <v>181</v>
      </c>
      <c r="T29" s="112" t="s">
        <v>212</v>
      </c>
      <c r="U29" s="112" t="s">
        <v>217</v>
      </c>
      <c r="V29" s="112" t="s">
        <v>208</v>
      </c>
    </row>
    <row r="30" spans="1:22" ht="13.5" thickBot="1">
      <c r="A30" s="278"/>
      <c r="B30" s="279" t="s">
        <v>170</v>
      </c>
      <c r="C30" s="280">
        <v>99</v>
      </c>
      <c r="D30" s="279" t="s">
        <v>54</v>
      </c>
      <c r="E30" s="202">
        <f t="shared" si="0"/>
        <v>703</v>
      </c>
      <c r="F30" s="281" t="s">
        <v>216</v>
      </c>
      <c r="G30" s="203">
        <v>0</v>
      </c>
      <c r="H30" s="281">
        <v>24.37</v>
      </c>
      <c r="I30" s="203">
        <f t="shared" si="2"/>
        <v>170</v>
      </c>
      <c r="J30" s="281">
        <v>9.7</v>
      </c>
      <c r="K30" s="203">
        <f t="shared" si="3"/>
        <v>400</v>
      </c>
      <c r="L30" s="281">
        <v>3.15</v>
      </c>
      <c r="M30" s="203">
        <f t="shared" si="4"/>
        <v>133</v>
      </c>
      <c r="N30" s="282"/>
      <c r="O30" s="283" t="s">
        <v>209</v>
      </c>
      <c r="P30" s="204">
        <v>0</v>
      </c>
      <c r="Q30" s="279" t="s">
        <v>170</v>
      </c>
      <c r="R30" s="280">
        <v>99</v>
      </c>
      <c r="S30" s="279" t="s">
        <v>54</v>
      </c>
      <c r="T30" s="159" t="s">
        <v>207</v>
      </c>
      <c r="U30" s="159" t="s">
        <v>217</v>
      </c>
      <c r="V30" s="159" t="s">
        <v>207</v>
      </c>
    </row>
    <row r="31" spans="1:16" ht="12.75">
      <c r="A31" s="29"/>
      <c r="B31" s="32"/>
      <c r="C31" s="30"/>
      <c r="D31" s="270"/>
      <c r="E31" s="207"/>
      <c r="F31" s="142"/>
      <c r="G31" s="140"/>
      <c r="H31" s="140"/>
      <c r="I31" s="140"/>
      <c r="J31" s="142"/>
      <c r="K31" s="140"/>
      <c r="L31" s="142"/>
      <c r="M31" s="140"/>
      <c r="N31" s="208"/>
      <c r="O31" s="209"/>
      <c r="P31" s="140"/>
    </row>
    <row r="32" spans="1:16" ht="12.75">
      <c r="A32" s="29"/>
      <c r="B32" s="32"/>
      <c r="C32" s="30"/>
      <c r="D32" s="32"/>
      <c r="E32" s="207"/>
      <c r="F32" s="142"/>
      <c r="G32" s="140"/>
      <c r="H32" s="140"/>
      <c r="I32" s="140"/>
      <c r="J32" s="142"/>
      <c r="K32" s="140"/>
      <c r="L32" s="142"/>
      <c r="M32" s="140"/>
      <c r="N32" s="208"/>
      <c r="O32" s="209"/>
      <c r="P32" s="140"/>
    </row>
    <row r="33" spans="1:16" ht="12.75">
      <c r="A33" s="29"/>
      <c r="B33" s="32"/>
      <c r="C33" s="30"/>
      <c r="D33" s="32"/>
      <c r="E33" s="207"/>
      <c r="F33" s="142"/>
      <c r="G33" s="140"/>
      <c r="H33" s="140"/>
      <c r="I33" s="140"/>
      <c r="J33" s="142"/>
      <c r="K33" s="140"/>
      <c r="L33" s="142"/>
      <c r="M33" s="140"/>
      <c r="N33" s="208"/>
      <c r="O33" s="209"/>
      <c r="P33" s="140"/>
    </row>
    <row r="43" spans="1:16" ht="20.25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</row>
    <row r="44" ht="13.5" hidden="1" thickBot="1"/>
    <row r="45" spans="1:16" ht="21" hidden="1" thickBo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32.25" customHeight="1">
      <c r="A46" s="271"/>
      <c r="B46" s="271"/>
      <c r="C46" s="271"/>
      <c r="D46" s="271"/>
      <c r="E46" s="272"/>
      <c r="F46" s="273"/>
      <c r="G46" s="274"/>
      <c r="H46" s="274"/>
      <c r="I46" s="274"/>
      <c r="J46" s="273"/>
      <c r="K46" s="274"/>
      <c r="L46" s="273"/>
      <c r="M46" s="274"/>
      <c r="N46" s="297"/>
      <c r="O46" s="297"/>
      <c r="P46" s="274"/>
    </row>
    <row r="47" spans="1:16" ht="12.75">
      <c r="A47" s="81"/>
      <c r="B47" s="275"/>
      <c r="C47" s="140"/>
      <c r="D47" s="140"/>
      <c r="E47" s="207"/>
      <c r="F47" s="276"/>
      <c r="G47" s="140"/>
      <c r="H47" s="276"/>
      <c r="I47" s="140"/>
      <c r="J47" s="276"/>
      <c r="K47" s="140"/>
      <c r="L47" s="276"/>
      <c r="M47" s="140"/>
      <c r="N47" s="276"/>
      <c r="O47" s="275"/>
      <c r="P47" s="140"/>
    </row>
    <row r="48" spans="1:16" ht="12.75">
      <c r="A48" s="81"/>
      <c r="B48" s="139"/>
      <c r="C48" s="140"/>
      <c r="D48" s="139"/>
      <c r="E48" s="207"/>
      <c r="F48" s="142"/>
      <c r="G48" s="140"/>
      <c r="H48" s="140"/>
      <c r="I48" s="140"/>
      <c r="J48" s="142"/>
      <c r="K48" s="140"/>
      <c r="L48" s="142"/>
      <c r="M48" s="140"/>
      <c r="N48" s="208"/>
      <c r="O48" s="209"/>
      <c r="P48" s="140"/>
    </row>
    <row r="49" spans="1:16" ht="12.75">
      <c r="A49" s="81"/>
      <c r="B49" s="139"/>
      <c r="C49" s="140"/>
      <c r="D49" s="139"/>
      <c r="E49" s="207"/>
      <c r="F49" s="142"/>
      <c r="G49" s="140"/>
      <c r="H49" s="140"/>
      <c r="I49" s="140"/>
      <c r="J49" s="142"/>
      <c r="K49" s="140"/>
      <c r="L49" s="142"/>
      <c r="M49" s="140"/>
      <c r="N49" s="208"/>
      <c r="O49" s="209"/>
      <c r="P49" s="140"/>
    </row>
    <row r="50" spans="1:16" ht="12.75">
      <c r="A50" s="81"/>
      <c r="B50" s="139"/>
      <c r="C50" s="140"/>
      <c r="D50" s="139"/>
      <c r="E50" s="207"/>
      <c r="F50" s="142"/>
      <c r="G50" s="140"/>
      <c r="H50" s="140"/>
      <c r="I50" s="140"/>
      <c r="J50" s="142"/>
      <c r="K50" s="140"/>
      <c r="L50" s="142"/>
      <c r="M50" s="140"/>
      <c r="N50" s="208"/>
      <c r="O50" s="209"/>
      <c r="P50" s="140"/>
    </row>
    <row r="51" spans="1:16" ht="12.75">
      <c r="A51" s="81"/>
      <c r="B51" s="139"/>
      <c r="C51" s="140"/>
      <c r="D51" s="139"/>
      <c r="E51" s="207"/>
      <c r="F51" s="142"/>
      <c r="G51" s="140"/>
      <c r="H51" s="140"/>
      <c r="I51" s="140"/>
      <c r="J51" s="142"/>
      <c r="K51" s="140"/>
      <c r="L51" s="142"/>
      <c r="M51" s="140"/>
      <c r="N51" s="208"/>
      <c r="O51" s="209"/>
      <c r="P51" s="140"/>
    </row>
    <row r="52" spans="1:16" ht="12.75">
      <c r="A52" s="81"/>
      <c r="B52" s="139"/>
      <c r="C52" s="140"/>
      <c r="D52" s="139"/>
      <c r="E52" s="207"/>
      <c r="F52" s="142"/>
      <c r="G52" s="140"/>
      <c r="H52" s="140"/>
      <c r="I52" s="140"/>
      <c r="J52" s="142"/>
      <c r="K52" s="140"/>
      <c r="L52" s="142"/>
      <c r="M52" s="140"/>
      <c r="N52" s="208"/>
      <c r="O52" s="209"/>
      <c r="P52" s="140"/>
    </row>
    <row r="53" spans="1:16" ht="12.75">
      <c r="A53" s="81"/>
      <c r="B53" s="139"/>
      <c r="C53" s="140"/>
      <c r="D53" s="139"/>
      <c r="E53" s="207"/>
      <c r="F53" s="142"/>
      <c r="G53" s="140"/>
      <c r="H53" s="140"/>
      <c r="I53" s="140"/>
      <c r="J53" s="142"/>
      <c r="K53" s="140"/>
      <c r="L53" s="142"/>
      <c r="M53" s="140"/>
      <c r="N53" s="208"/>
      <c r="O53" s="209"/>
      <c r="P53" s="140"/>
    </row>
    <row r="54" spans="1:16" ht="12.75">
      <c r="A54" s="81"/>
      <c r="B54" s="139"/>
      <c r="C54" s="140"/>
      <c r="D54" s="139"/>
      <c r="E54" s="207"/>
      <c r="F54" s="142"/>
      <c r="G54" s="140"/>
      <c r="H54" s="140"/>
      <c r="I54" s="140"/>
      <c r="J54" s="142"/>
      <c r="K54" s="140"/>
      <c r="L54" s="142"/>
      <c r="M54" s="140"/>
      <c r="N54" s="208"/>
      <c r="O54" s="209"/>
      <c r="P54" s="140"/>
    </row>
    <row r="55" spans="1:16" ht="12.75">
      <c r="A55" s="81"/>
      <c r="B55" s="139"/>
      <c r="C55" s="140"/>
      <c r="D55" s="139"/>
      <c r="E55" s="207"/>
      <c r="F55" s="142"/>
      <c r="G55" s="140"/>
      <c r="H55" s="140"/>
      <c r="I55" s="140"/>
      <c r="J55" s="142"/>
      <c r="K55" s="140"/>
      <c r="L55" s="142"/>
      <c r="M55" s="140"/>
      <c r="N55" s="208"/>
      <c r="O55" s="209"/>
      <c r="P55" s="140"/>
    </row>
    <row r="56" spans="1:16" ht="12.75">
      <c r="A56" s="81"/>
      <c r="B56" s="139"/>
      <c r="C56" s="140"/>
      <c r="D56" s="139"/>
      <c r="E56" s="207"/>
      <c r="F56" s="142"/>
      <c r="G56" s="140"/>
      <c r="H56" s="140"/>
      <c r="I56" s="140"/>
      <c r="J56" s="142"/>
      <c r="K56" s="140"/>
      <c r="L56" s="142"/>
      <c r="M56" s="140"/>
      <c r="N56" s="208"/>
      <c r="O56" s="209"/>
      <c r="P56" s="140"/>
    </row>
    <row r="57" spans="1:16" ht="12.75">
      <c r="A57" s="81"/>
      <c r="B57" s="139"/>
      <c r="C57" s="140"/>
      <c r="D57" s="139"/>
      <c r="E57" s="207"/>
      <c r="F57" s="142"/>
      <c r="G57" s="140"/>
      <c r="H57" s="140"/>
      <c r="I57" s="140"/>
      <c r="J57" s="142"/>
      <c r="K57" s="140"/>
      <c r="L57" s="142"/>
      <c r="M57" s="140"/>
      <c r="N57" s="208"/>
      <c r="O57" s="209"/>
      <c r="P57" s="140"/>
    </row>
    <row r="58" spans="1:16" ht="12.75">
      <c r="A58" s="81"/>
      <c r="B58" s="139"/>
      <c r="C58" s="140"/>
      <c r="D58" s="139"/>
      <c r="E58" s="207"/>
      <c r="F58" s="142"/>
      <c r="G58" s="140"/>
      <c r="H58" s="140"/>
      <c r="I58" s="140"/>
      <c r="J58" s="142"/>
      <c r="K58" s="140"/>
      <c r="L58" s="142"/>
      <c r="M58" s="140"/>
      <c r="N58" s="208"/>
      <c r="O58" s="209"/>
      <c r="P58" s="140"/>
    </row>
    <row r="59" spans="1:16" ht="12.75">
      <c r="A59" s="81"/>
      <c r="B59" s="262"/>
      <c r="C59" s="79"/>
      <c r="D59" s="262"/>
      <c r="E59" s="207"/>
      <c r="F59" s="142"/>
      <c r="G59" s="140"/>
      <c r="H59" s="140"/>
      <c r="I59" s="140"/>
      <c r="J59" s="142"/>
      <c r="K59" s="140"/>
      <c r="L59" s="142"/>
      <c r="M59" s="140"/>
      <c r="N59" s="208"/>
      <c r="O59" s="209"/>
      <c r="P59" s="140"/>
    </row>
    <row r="60" spans="1:16" ht="12.75">
      <c r="A60" s="81"/>
      <c r="B60" s="262"/>
      <c r="C60" s="79"/>
      <c r="D60" s="262"/>
      <c r="E60" s="207"/>
      <c r="F60" s="142"/>
      <c r="G60" s="140"/>
      <c r="H60" s="142"/>
      <c r="I60" s="140"/>
      <c r="J60" s="142"/>
      <c r="K60" s="140"/>
      <c r="L60" s="142"/>
      <c r="M60" s="140"/>
      <c r="N60" s="265"/>
      <c r="O60" s="266"/>
      <c r="P60" s="140"/>
    </row>
    <row r="61" spans="1:16" ht="12.75">
      <c r="A61" s="81"/>
      <c r="B61" s="139"/>
      <c r="C61" s="140"/>
      <c r="D61" s="139"/>
      <c r="E61" s="207"/>
      <c r="F61" s="142"/>
      <c r="G61" s="140"/>
      <c r="H61" s="142"/>
      <c r="I61" s="140"/>
      <c r="J61" s="142"/>
      <c r="K61" s="140"/>
      <c r="L61" s="142"/>
      <c r="M61" s="140"/>
      <c r="N61" s="208"/>
      <c r="O61" s="209"/>
      <c r="P61" s="140"/>
    </row>
    <row r="62" spans="1:16" ht="12.75">
      <c r="A62" s="81"/>
      <c r="B62" s="139"/>
      <c r="C62" s="140"/>
      <c r="D62" s="139"/>
      <c r="E62" s="207"/>
      <c r="F62" s="142"/>
      <c r="G62" s="140"/>
      <c r="H62" s="140"/>
      <c r="I62" s="140"/>
      <c r="J62" s="142"/>
      <c r="K62" s="140"/>
      <c r="L62" s="142"/>
      <c r="M62" s="140"/>
      <c r="N62" s="267"/>
      <c r="O62" s="209"/>
      <c r="P62" s="140"/>
    </row>
    <row r="63" spans="1:16" ht="12.75">
      <c r="A63" s="81"/>
      <c r="B63" s="139"/>
      <c r="C63" s="140"/>
      <c r="D63" s="139"/>
      <c r="E63" s="207"/>
      <c r="F63" s="142"/>
      <c r="G63" s="140"/>
      <c r="H63" s="140"/>
      <c r="I63" s="140"/>
      <c r="J63" s="142"/>
      <c r="K63" s="140"/>
      <c r="L63" s="142"/>
      <c r="M63" s="140"/>
      <c r="N63" s="208"/>
      <c r="O63" s="209"/>
      <c r="P63" s="140"/>
    </row>
    <row r="64" spans="1:16" ht="12.75">
      <c r="A64" s="81"/>
      <c r="B64" s="262"/>
      <c r="C64" s="79"/>
      <c r="D64" s="262"/>
      <c r="E64" s="207"/>
      <c r="F64" s="254"/>
      <c r="G64" s="140"/>
      <c r="H64" s="254"/>
      <c r="I64" s="140"/>
      <c r="J64" s="254"/>
      <c r="K64" s="140"/>
      <c r="L64" s="254"/>
      <c r="M64" s="140"/>
      <c r="N64" s="268"/>
      <c r="O64" s="269"/>
      <c r="P64" s="140"/>
    </row>
    <row r="65" spans="1:16" ht="12.75">
      <c r="A65" s="81"/>
      <c r="B65" s="262"/>
      <c r="C65" s="79"/>
      <c r="D65" s="262"/>
      <c r="E65" s="207"/>
      <c r="F65" s="254"/>
      <c r="G65" s="140"/>
      <c r="H65" s="254"/>
      <c r="I65" s="140"/>
      <c r="J65" s="254"/>
      <c r="K65" s="140"/>
      <c r="L65" s="254"/>
      <c r="M65" s="140"/>
      <c r="N65" s="268"/>
      <c r="O65" s="269"/>
      <c r="P65" s="140"/>
    </row>
    <row r="66" spans="1:16" ht="12.75">
      <c r="A66" s="81"/>
      <c r="B66" s="139"/>
      <c r="C66" s="140"/>
      <c r="D66" s="139"/>
      <c r="E66" s="207"/>
      <c r="F66" s="142"/>
      <c r="G66" s="140"/>
      <c r="H66" s="140"/>
      <c r="I66" s="140"/>
      <c r="J66" s="142"/>
      <c r="K66" s="140"/>
      <c r="L66" s="142"/>
      <c r="M66" s="140"/>
      <c r="N66" s="208"/>
      <c r="O66" s="209"/>
      <c r="P66" s="140"/>
    </row>
    <row r="67" spans="1:16" ht="12.75">
      <c r="A67" s="81"/>
      <c r="B67" s="139"/>
      <c r="C67" s="140"/>
      <c r="D67" s="139"/>
      <c r="E67" s="207"/>
      <c r="F67" s="142"/>
      <c r="G67" s="140"/>
      <c r="H67" s="142"/>
      <c r="I67" s="140"/>
      <c r="J67" s="142"/>
      <c r="K67" s="140"/>
      <c r="L67" s="142"/>
      <c r="M67" s="140"/>
      <c r="N67" s="208"/>
      <c r="O67" s="209"/>
      <c r="P67" s="140"/>
    </row>
    <row r="68" spans="1:16" ht="12.75">
      <c r="A68" s="81"/>
      <c r="B68" s="262"/>
      <c r="C68" s="79"/>
      <c r="D68" s="262"/>
      <c r="E68" s="207"/>
      <c r="F68" s="254"/>
      <c r="G68" s="140"/>
      <c r="H68" s="254"/>
      <c r="I68" s="140"/>
      <c r="J68" s="254"/>
      <c r="K68" s="140"/>
      <c r="L68" s="254"/>
      <c r="M68" s="140"/>
      <c r="N68" s="268"/>
      <c r="O68" s="269"/>
      <c r="P68" s="140"/>
    </row>
    <row r="69" spans="1:16" ht="12.75">
      <c r="A69" s="81"/>
      <c r="B69" s="139"/>
      <c r="C69" s="140"/>
      <c r="D69" s="139"/>
      <c r="E69" s="207"/>
      <c r="F69" s="142"/>
      <c r="G69" s="140"/>
      <c r="H69" s="140"/>
      <c r="I69" s="140"/>
      <c r="J69" s="142"/>
      <c r="K69" s="140"/>
      <c r="L69" s="142"/>
      <c r="M69" s="140"/>
      <c r="N69" s="208"/>
      <c r="O69" s="209"/>
      <c r="P69" s="140"/>
    </row>
    <row r="70" spans="1:16" ht="12.75">
      <c r="A70" s="81"/>
      <c r="B70" s="139"/>
      <c r="C70" s="140"/>
      <c r="D70" s="277"/>
      <c r="E70" s="207"/>
      <c r="F70" s="142"/>
      <c r="G70" s="140"/>
      <c r="H70" s="140"/>
      <c r="I70" s="140"/>
      <c r="J70" s="142"/>
      <c r="K70" s="140"/>
      <c r="L70" s="142"/>
      <c r="M70" s="140"/>
      <c r="N70" s="208"/>
      <c r="O70" s="209"/>
      <c r="P70" s="140"/>
    </row>
    <row r="71" spans="1:16" ht="12.75">
      <c r="A71" s="81"/>
      <c r="B71" s="262"/>
      <c r="C71" s="79"/>
      <c r="D71" s="262"/>
      <c r="E71" s="207"/>
      <c r="F71" s="142"/>
      <c r="G71" s="140"/>
      <c r="H71" s="140"/>
      <c r="I71" s="140"/>
      <c r="J71" s="142"/>
      <c r="K71" s="140"/>
      <c r="L71" s="142"/>
      <c r="M71" s="140"/>
      <c r="N71" s="267"/>
      <c r="O71" s="209"/>
      <c r="P71" s="140"/>
    </row>
    <row r="72" spans="1:16" ht="12.75">
      <c r="A72" s="81"/>
      <c r="B72" s="139"/>
      <c r="C72" s="140"/>
      <c r="D72" s="139"/>
      <c r="E72" s="207"/>
      <c r="F72" s="142"/>
      <c r="G72" s="140"/>
      <c r="H72" s="140"/>
      <c r="I72" s="140"/>
      <c r="J72" s="142"/>
      <c r="K72" s="140"/>
      <c r="L72" s="142"/>
      <c r="M72" s="140"/>
      <c r="N72" s="267"/>
      <c r="O72" s="209"/>
      <c r="P72" s="140"/>
    </row>
    <row r="73" spans="1:16" ht="12.75">
      <c r="A73" s="81"/>
      <c r="B73" s="139"/>
      <c r="C73" s="140"/>
      <c r="D73" s="139"/>
      <c r="E73" s="207"/>
      <c r="F73" s="142"/>
      <c r="G73" s="140"/>
      <c r="H73" s="140"/>
      <c r="I73" s="140"/>
      <c r="J73" s="142"/>
      <c r="K73" s="140"/>
      <c r="L73" s="142"/>
      <c r="M73" s="140"/>
      <c r="N73" s="208"/>
      <c r="O73" s="209"/>
      <c r="P73" s="140"/>
    </row>
    <row r="74" spans="1:16" ht="12.75">
      <c r="A74" s="81"/>
      <c r="B74" s="139"/>
      <c r="C74" s="140"/>
      <c r="D74" s="139"/>
      <c r="E74" s="207"/>
      <c r="F74" s="142"/>
      <c r="G74" s="140"/>
      <c r="H74" s="140"/>
      <c r="I74" s="140"/>
      <c r="J74" s="142"/>
      <c r="K74" s="140"/>
      <c r="L74" s="142"/>
      <c r="M74" s="140"/>
      <c r="N74" s="208"/>
      <c r="O74" s="209"/>
      <c r="P74" s="140"/>
    </row>
    <row r="75" spans="1:16" ht="12.75">
      <c r="A75" s="81"/>
      <c r="B75" s="139"/>
      <c r="C75" s="140"/>
      <c r="D75" s="139"/>
      <c r="E75" s="207"/>
      <c r="F75" s="142"/>
      <c r="G75" s="140"/>
      <c r="H75" s="142"/>
      <c r="I75" s="140"/>
      <c r="J75" s="142"/>
      <c r="K75" s="140"/>
      <c r="L75" s="142"/>
      <c r="M75" s="140"/>
      <c r="N75" s="208"/>
      <c r="O75" s="209"/>
      <c r="P75" s="140"/>
    </row>
    <row r="76" spans="1:16" ht="12.75">
      <c r="A76" s="81"/>
      <c r="B76" s="139"/>
      <c r="C76" s="140"/>
      <c r="D76" s="139"/>
      <c r="E76" s="207"/>
      <c r="F76" s="142"/>
      <c r="G76" s="140"/>
      <c r="H76" s="140"/>
      <c r="I76" s="140"/>
      <c r="J76" s="142"/>
      <c r="K76" s="140"/>
      <c r="L76" s="142"/>
      <c r="M76" s="140"/>
      <c r="N76" s="208"/>
      <c r="O76" s="209"/>
      <c r="P76" s="140"/>
    </row>
    <row r="77" spans="1:16" ht="12.75" hidden="1">
      <c r="A77" s="81"/>
      <c r="B77" s="139"/>
      <c r="C77" s="139"/>
      <c r="D77" s="139"/>
      <c r="E77" s="139"/>
      <c r="F77" s="139"/>
      <c r="G77" s="139"/>
      <c r="H77" s="140"/>
      <c r="I77" s="139"/>
      <c r="J77" s="139"/>
      <c r="K77" s="139"/>
      <c r="L77" s="139"/>
      <c r="M77" s="139"/>
      <c r="N77" s="139"/>
      <c r="O77" s="139"/>
      <c r="P77" s="139"/>
    </row>
    <row r="78" spans="1:16" ht="12.75">
      <c r="A78" s="81"/>
      <c r="B78" s="262"/>
      <c r="C78" s="79"/>
      <c r="D78" s="262"/>
      <c r="E78" s="207"/>
      <c r="F78" s="142"/>
      <c r="G78" s="140"/>
      <c r="H78" s="140"/>
      <c r="I78" s="140"/>
      <c r="J78" s="142"/>
      <c r="K78" s="140"/>
      <c r="L78" s="142"/>
      <c r="M78" s="140"/>
      <c r="N78" s="208"/>
      <c r="O78" s="209"/>
      <c r="P78" s="140"/>
    </row>
    <row r="79" spans="1:16" ht="12.75">
      <c r="A79" s="81"/>
      <c r="B79" s="139"/>
      <c r="C79" s="140"/>
      <c r="D79" s="139"/>
      <c r="E79" s="207"/>
      <c r="F79" s="142"/>
      <c r="G79" s="140"/>
      <c r="H79" s="140"/>
      <c r="I79" s="140"/>
      <c r="J79" s="142"/>
      <c r="K79" s="140"/>
      <c r="L79" s="142"/>
      <c r="M79" s="140"/>
      <c r="N79" s="208"/>
      <c r="O79" s="209"/>
      <c r="P79" s="140"/>
    </row>
    <row r="80" spans="1:16" ht="12.75">
      <c r="A80" s="81"/>
      <c r="B80" s="139"/>
      <c r="C80" s="140"/>
      <c r="D80" s="139"/>
      <c r="E80" s="207"/>
      <c r="F80" s="142"/>
      <c r="G80" s="140"/>
      <c r="H80" s="140"/>
      <c r="I80" s="140"/>
      <c r="J80" s="142"/>
      <c r="K80" s="140"/>
      <c r="L80" s="142"/>
      <c r="M80" s="140"/>
      <c r="N80" s="208"/>
      <c r="O80" s="209"/>
      <c r="P80" s="140"/>
    </row>
    <row r="81" spans="1:16" ht="12.75">
      <c r="A81" s="161"/>
      <c r="B81" s="139"/>
      <c r="C81" s="140"/>
      <c r="D81" s="139"/>
      <c r="E81" s="207"/>
      <c r="F81" s="142"/>
      <c r="G81" s="140"/>
      <c r="H81" s="140"/>
      <c r="I81" s="140"/>
      <c r="J81" s="142"/>
      <c r="K81" s="140"/>
      <c r="L81" s="142"/>
      <c r="M81" s="140"/>
      <c r="N81" s="208"/>
      <c r="O81" s="209"/>
      <c r="P81" s="140"/>
    </row>
    <row r="82" spans="1:16" ht="12.75">
      <c r="A82" s="81"/>
      <c r="B82" s="139"/>
      <c r="C82" s="140"/>
      <c r="D82" s="139"/>
      <c r="E82" s="207"/>
      <c r="F82" s="142"/>
      <c r="G82" s="140"/>
      <c r="H82" s="140"/>
      <c r="I82" s="140"/>
      <c r="J82" s="142"/>
      <c r="K82" s="140"/>
      <c r="L82" s="142"/>
      <c r="M82" s="140"/>
      <c r="N82" s="208"/>
      <c r="O82" s="209"/>
      <c r="P82" s="140"/>
    </row>
    <row r="83" spans="1:16" ht="12.75">
      <c r="A83" s="29"/>
      <c r="B83" s="32"/>
      <c r="C83" s="30"/>
      <c r="D83" s="32"/>
      <c r="E83" s="207"/>
      <c r="F83" s="142"/>
      <c r="G83" s="140"/>
      <c r="H83" s="140"/>
      <c r="I83" s="140"/>
      <c r="J83" s="142"/>
      <c r="K83" s="140"/>
      <c r="L83" s="142"/>
      <c r="M83" s="140"/>
      <c r="N83" s="208"/>
      <c r="O83" s="209"/>
      <c r="P83" s="140"/>
    </row>
    <row r="84" spans="1:16" ht="12.75">
      <c r="A84" s="29"/>
      <c r="B84" s="32"/>
      <c r="C84" s="30"/>
      <c r="D84" s="32"/>
      <c r="E84" s="207"/>
      <c r="F84" s="142"/>
      <c r="G84" s="140"/>
      <c r="H84" s="140"/>
      <c r="I84" s="140"/>
      <c r="J84" s="142"/>
      <c r="K84" s="140"/>
      <c r="L84" s="142"/>
      <c r="M84" s="140"/>
      <c r="N84" s="208"/>
      <c r="O84" s="209"/>
      <c r="P84" s="140"/>
    </row>
    <row r="85" spans="1:16" ht="12.75">
      <c r="A85" s="29"/>
      <c r="B85" s="32"/>
      <c r="C85" s="30"/>
      <c r="D85" s="32"/>
      <c r="E85" s="207"/>
      <c r="F85" s="142"/>
      <c r="G85" s="140"/>
      <c r="H85" s="140"/>
      <c r="I85" s="140"/>
      <c r="J85" s="142"/>
      <c r="K85" s="140"/>
      <c r="L85" s="142"/>
      <c r="M85" s="140"/>
      <c r="N85" s="208"/>
      <c r="O85" s="209"/>
      <c r="P85" s="140"/>
    </row>
    <row r="86" spans="1:16" ht="12.75">
      <c r="A86" s="29"/>
      <c r="B86" s="32"/>
      <c r="C86" s="30"/>
      <c r="D86" s="32"/>
      <c r="E86" s="207"/>
      <c r="F86" s="142"/>
      <c r="G86" s="140"/>
      <c r="H86" s="140"/>
      <c r="I86" s="140"/>
      <c r="J86" s="142"/>
      <c r="K86" s="140"/>
      <c r="L86" s="142"/>
      <c r="M86" s="140"/>
      <c r="N86" s="208"/>
      <c r="O86" s="209"/>
      <c r="P86" s="140"/>
    </row>
    <row r="87" spans="1:16" ht="12.75">
      <c r="A87" s="29"/>
      <c r="B87" s="32"/>
      <c r="C87" s="30"/>
      <c r="D87" s="32"/>
      <c r="E87" s="207"/>
      <c r="F87" s="142"/>
      <c r="G87" s="140"/>
      <c r="H87" s="140"/>
      <c r="I87" s="140"/>
      <c r="J87" s="142"/>
      <c r="K87" s="140"/>
      <c r="L87" s="142"/>
      <c r="M87" s="140"/>
      <c r="N87" s="208"/>
      <c r="O87" s="209"/>
      <c r="P87" s="140"/>
    </row>
    <row r="88" spans="1:16" ht="12.75">
      <c r="A88" s="29"/>
      <c r="B88" s="32"/>
      <c r="C88" s="30"/>
      <c r="D88" s="32"/>
      <c r="E88" s="207"/>
      <c r="F88" s="142"/>
      <c r="G88" s="140"/>
      <c r="H88" s="140"/>
      <c r="I88" s="140"/>
      <c r="J88" s="142"/>
      <c r="K88" s="140"/>
      <c r="L88" s="142"/>
      <c r="M88" s="140"/>
      <c r="N88" s="208"/>
      <c r="O88" s="209"/>
      <c r="P88" s="140"/>
    </row>
    <row r="89" spans="1:16" ht="12.75">
      <c r="A89" s="29"/>
      <c r="B89" s="32"/>
      <c r="C89" s="30"/>
      <c r="D89" s="32"/>
      <c r="E89" s="207"/>
      <c r="F89" s="142"/>
      <c r="G89" s="140"/>
      <c r="H89" s="140"/>
      <c r="I89" s="140"/>
      <c r="J89" s="142"/>
      <c r="K89" s="140"/>
      <c r="L89" s="142"/>
      <c r="M89" s="140"/>
      <c r="N89" s="208"/>
      <c r="O89" s="209"/>
      <c r="P89" s="140"/>
    </row>
    <row r="90" spans="1:16" ht="12.75">
      <c r="A90" s="29"/>
      <c r="B90" s="32"/>
      <c r="C90" s="30"/>
      <c r="D90" s="32"/>
      <c r="E90" s="207"/>
      <c r="F90" s="142"/>
      <c r="G90" s="140"/>
      <c r="H90" s="140"/>
      <c r="I90" s="140"/>
      <c r="J90" s="142"/>
      <c r="K90" s="140"/>
      <c r="L90" s="142"/>
      <c r="M90" s="140"/>
      <c r="N90" s="208"/>
      <c r="O90" s="209"/>
      <c r="P90" s="140"/>
    </row>
    <row r="91" spans="1:16" ht="12.75">
      <c r="A91" s="29"/>
      <c r="B91" s="32"/>
      <c r="C91" s="30"/>
      <c r="D91" s="32"/>
      <c r="E91" s="207"/>
      <c r="F91" s="142"/>
      <c r="G91" s="140"/>
      <c r="H91" s="140"/>
      <c r="I91" s="140"/>
      <c r="J91" s="142"/>
      <c r="K91" s="140"/>
      <c r="L91" s="142"/>
      <c r="M91" s="140"/>
      <c r="N91" s="208"/>
      <c r="O91" s="209"/>
      <c r="P91" s="140"/>
    </row>
    <row r="92" spans="1:16" ht="12.75">
      <c r="A92" s="29"/>
      <c r="B92" s="32"/>
      <c r="C92" s="30"/>
      <c r="D92" s="32"/>
      <c r="E92" s="207"/>
      <c r="F92" s="142"/>
      <c r="G92" s="140"/>
      <c r="H92" s="140"/>
      <c r="I92" s="140"/>
      <c r="J92" s="142"/>
      <c r="K92" s="140"/>
      <c r="L92" s="142"/>
      <c r="M92" s="140"/>
      <c r="N92" s="208"/>
      <c r="O92" s="209"/>
      <c r="P92" s="140"/>
    </row>
    <row r="93" spans="1:16" ht="12.75">
      <c r="A93" s="29"/>
      <c r="B93" s="32"/>
      <c r="C93" s="30"/>
      <c r="D93" s="32"/>
      <c r="E93" s="207"/>
      <c r="F93" s="142"/>
      <c r="G93" s="140"/>
      <c r="H93" s="140"/>
      <c r="I93" s="140"/>
      <c r="J93" s="142"/>
      <c r="K93" s="140"/>
      <c r="L93" s="142"/>
      <c r="M93" s="140"/>
      <c r="N93" s="208"/>
      <c r="O93" s="209"/>
      <c r="P93" s="140"/>
    </row>
    <row r="94" spans="1:16" ht="12.75">
      <c r="A94" s="32"/>
      <c r="B94" s="32"/>
      <c r="C94" s="32"/>
      <c r="D94" s="32"/>
      <c r="E94" s="32"/>
      <c r="F94" s="32"/>
      <c r="G94" s="32"/>
      <c r="H94" s="30"/>
      <c r="I94" s="32"/>
      <c r="J94" s="32"/>
      <c r="K94" s="32"/>
      <c r="L94" s="32"/>
      <c r="M94" s="32"/>
      <c r="N94" s="32"/>
      <c r="O94" s="32"/>
      <c r="P94" s="32"/>
    </row>
    <row r="95" spans="1:16" ht="12.75">
      <c r="A95" s="32"/>
      <c r="B95" s="32"/>
      <c r="C95" s="32"/>
      <c r="D95" s="32"/>
      <c r="E95" s="32"/>
      <c r="F95" s="32"/>
      <c r="G95" s="32"/>
      <c r="H95" s="30"/>
      <c r="I95" s="32"/>
      <c r="J95" s="32"/>
      <c r="K95" s="32"/>
      <c r="L95" s="32"/>
      <c r="M95" s="32"/>
      <c r="N95" s="32"/>
      <c r="O95" s="32"/>
      <c r="P95" s="32"/>
    </row>
    <row r="96" spans="1:16" ht="12.75">
      <c r="A96" s="32"/>
      <c r="B96" s="32"/>
      <c r="C96" s="32"/>
      <c r="D96" s="32"/>
      <c r="E96" s="32"/>
      <c r="F96" s="32"/>
      <c r="G96" s="32"/>
      <c r="H96" s="30"/>
      <c r="I96" s="32"/>
      <c r="J96" s="32"/>
      <c r="K96" s="32"/>
      <c r="L96" s="32"/>
      <c r="M96" s="32"/>
      <c r="N96" s="32"/>
      <c r="O96" s="32"/>
      <c r="P96" s="32"/>
    </row>
    <row r="97" spans="1:16" ht="12.75">
      <c r="A97" s="32"/>
      <c r="B97" s="32"/>
      <c r="C97" s="32"/>
      <c r="D97" s="32"/>
      <c r="E97" s="32"/>
      <c r="F97" s="32"/>
      <c r="G97" s="32"/>
      <c r="H97" s="30"/>
      <c r="I97" s="32"/>
      <c r="J97" s="32"/>
      <c r="K97" s="32"/>
      <c r="L97" s="32"/>
      <c r="M97" s="32"/>
      <c r="N97" s="32"/>
      <c r="O97" s="32"/>
      <c r="P97" s="32"/>
    </row>
    <row r="98" spans="1:16" ht="12.75">
      <c r="A98" s="32"/>
      <c r="B98" s="32"/>
      <c r="C98" s="32"/>
      <c r="D98" s="32"/>
      <c r="E98" s="32"/>
      <c r="F98" s="32"/>
      <c r="G98" s="32"/>
      <c r="H98" s="30"/>
      <c r="I98" s="32"/>
      <c r="J98" s="32"/>
      <c r="K98" s="32"/>
      <c r="L98" s="32"/>
      <c r="M98" s="32"/>
      <c r="N98" s="32"/>
      <c r="O98" s="32"/>
      <c r="P98" s="32"/>
    </row>
    <row r="99" spans="1:16" ht="12.75">
      <c r="A99" s="32"/>
      <c r="B99" s="32"/>
      <c r="C99" s="32"/>
      <c r="D99" s="32"/>
      <c r="E99" s="32"/>
      <c r="F99" s="32"/>
      <c r="G99" s="32"/>
      <c r="H99" s="30"/>
      <c r="I99" s="32"/>
      <c r="J99" s="32"/>
      <c r="K99" s="32"/>
      <c r="L99" s="32"/>
      <c r="M99" s="32"/>
      <c r="N99" s="32"/>
      <c r="O99" s="32"/>
      <c r="P99" s="32"/>
    </row>
    <row r="100" spans="1:16" ht="12.75">
      <c r="A100" s="32"/>
      <c r="B100" s="32"/>
      <c r="C100" s="32"/>
      <c r="D100" s="32"/>
      <c r="E100" s="32"/>
      <c r="F100" s="32"/>
      <c r="G100" s="32"/>
      <c r="H100" s="30"/>
      <c r="I100" s="32"/>
      <c r="J100" s="32"/>
      <c r="K100" s="32"/>
      <c r="L100" s="32"/>
      <c r="M100" s="32"/>
      <c r="N100" s="32"/>
      <c r="O100" s="32"/>
      <c r="P100" s="32"/>
    </row>
  </sheetData>
  <sheetProtection/>
  <mergeCells count="4">
    <mergeCell ref="N46:O46"/>
    <mergeCell ref="A1:P1"/>
    <mergeCell ref="N4:O4"/>
    <mergeCell ref="A43:P4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&amp;LMistrovství Moravy a Slezska ve vícebojích&amp;C17. ročník Třineckých atletických vícebojů&amp;RTřinec 9.6.2012</oddHeader>
    <oddFooter>&amp;LHlavní rozhodčí: Krzystek Jiří&amp;RŘeditel závodu: Szmeková Emilie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Strední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Iva Pechová</cp:lastModifiedBy>
  <cp:lastPrinted>2012-06-10T13:41:56Z</cp:lastPrinted>
  <dcterms:created xsi:type="dcterms:W3CDTF">1998-05-26T06:38:52Z</dcterms:created>
  <dcterms:modified xsi:type="dcterms:W3CDTF">2012-06-11T11:56:47Z</dcterms:modified>
  <cp:category/>
  <cp:version/>
  <cp:contentType/>
  <cp:contentStatus/>
</cp:coreProperties>
</file>